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405" windowWidth="15480" windowHeight="8055" activeTab="0"/>
  </bookViews>
  <sheets>
    <sheet name="Calculator" sheetId="1" r:id="rId1"/>
    <sheet name="Background" sheetId="2" state="hidden" r:id="rId2"/>
    <sheet name="core" sheetId="3" r:id="rId3"/>
  </sheets>
  <definedNames>
    <definedName name="Bmax">'Calculator'!$B$39</definedName>
    <definedName name="fsw">'Calculator'!$B$13</definedName>
    <definedName name="Iout">'Calculator'!$F$15</definedName>
    <definedName name="Ipk">'Calculator'!$B$29</definedName>
    <definedName name="Ipks">'Calculator'!$F$29</definedName>
    <definedName name="Iprms">'Calculator'!$B$30</definedName>
    <definedName name="Isrms">'Calculator'!$F$31</definedName>
    <definedName name="Kc">'Calculator'!$B$23</definedName>
    <definedName name="Kp">'Calculator'!$B$22</definedName>
    <definedName name="Lp">'Calculator'!$B$40</definedName>
    <definedName name="Lp1">'Calculator'!$F$40</definedName>
    <definedName name="Lpi">'Calculator'!$B$40</definedName>
    <definedName name="Np">'Calculator'!$B$42</definedName>
    <definedName name="Ns">'Calculator'!$B$43</definedName>
    <definedName name="Nt">'Calculator'!$F$22</definedName>
    <definedName name="Rcs">'Calculator'!$B$34</definedName>
    <definedName name="Vac_max">'Calculator'!$B$11</definedName>
    <definedName name="Vac_min">'Calculator'!$B$10</definedName>
    <definedName name="Vcs_ref">'Calculator'!$F$23</definedName>
    <definedName name="Vdc_max">'Calculator'!$F$27</definedName>
    <definedName name="Vdc_min">'Calculator'!$B$27</definedName>
    <definedName name="Vout">'Calculator'!$F$14</definedName>
    <definedName name="ηt">'Calculator'!$B$21</definedName>
  </definedNames>
  <calcPr fullCalcOnLoad="1"/>
</workbook>
</file>

<file path=xl/sharedStrings.xml><?xml version="1.0" encoding="utf-8"?>
<sst xmlns="http://schemas.openxmlformats.org/spreadsheetml/2006/main" count="859" uniqueCount="555">
  <si>
    <t>Design Spec.</t>
  </si>
  <si>
    <t xml:space="preserve">LED Load Spec. </t>
  </si>
  <si>
    <t>Vac</t>
  </si>
  <si>
    <t>Vdc</t>
  </si>
  <si>
    <t>mA</t>
  </si>
  <si>
    <t>Hz</t>
  </si>
  <si>
    <t>Pcs</t>
  </si>
  <si>
    <t>Khz</t>
  </si>
  <si>
    <t>%</t>
  </si>
  <si>
    <t>Walt</t>
  </si>
  <si>
    <t>功率因数</t>
  </si>
  <si>
    <t/>
  </si>
  <si>
    <t>Design Data （工作参数计算）</t>
  </si>
  <si>
    <t>mH</t>
  </si>
  <si>
    <t>实际选用初级电感量_Lp=</t>
  </si>
  <si>
    <t>选用的变压器截面积_Ae=</t>
  </si>
  <si>
    <t>c㎡</t>
  </si>
  <si>
    <t>Ts</t>
  </si>
  <si>
    <t>Current Sense Resistor 采样电阻</t>
  </si>
  <si>
    <t>电流采样电阻_Rcs=</t>
  </si>
  <si>
    <t>Ω</t>
  </si>
  <si>
    <t>采样电阻功耗_Prcs=</t>
  </si>
  <si>
    <t>Start-Up Resistor 启动电阻</t>
  </si>
  <si>
    <t>MΩ</t>
  </si>
  <si>
    <t>由于耐压问题，实际选用2颗1MΩ_1206电阻串联。</t>
  </si>
  <si>
    <t>FB Sense Resistor FB反馈电阻</t>
  </si>
  <si>
    <t>系统延时时间_tdely=</t>
  </si>
  <si>
    <t>nS</t>
  </si>
  <si>
    <t>KΩ</t>
  </si>
  <si>
    <t>uF</t>
  </si>
  <si>
    <r>
      <t>V</t>
    </r>
    <r>
      <rPr>
        <b/>
        <sz val="11"/>
        <color indexed="8"/>
        <rFont val="宋体"/>
        <family val="0"/>
      </rPr>
      <t>out</t>
    </r>
    <r>
      <rPr>
        <b/>
        <sz val="11"/>
        <color indexed="8"/>
        <rFont val="宋体"/>
        <family val="0"/>
      </rPr>
      <t xml:space="preserve"> Capacitor  输出电容</t>
    </r>
  </si>
  <si>
    <t>Other parameters</t>
  </si>
  <si>
    <t>T</t>
  </si>
  <si>
    <t>ohm</t>
  </si>
  <si>
    <t>分压系数_Ks=</t>
  </si>
  <si>
    <t>Line compensation</t>
  </si>
  <si>
    <t>分压系数_Ka=</t>
  </si>
  <si>
    <t>最小输入电压 Vac_min</t>
  </si>
  <si>
    <t>最大输入电压 Vac_max</t>
  </si>
  <si>
    <t>输入频率</t>
  </si>
  <si>
    <t>LED单颗平均电压 Vled</t>
  </si>
  <si>
    <t>LED单颗平均电流 Iled</t>
  </si>
  <si>
    <t>LED串联数量 Qsled</t>
  </si>
  <si>
    <t>LED并联数量 Qpled</t>
  </si>
  <si>
    <t>电源输出电压 Vout</t>
  </si>
  <si>
    <t>电源输出电流 Iout</t>
  </si>
  <si>
    <t>电源输出功率 Pout</t>
  </si>
  <si>
    <t>输出电流纹波 Io_ripple_pp</t>
  </si>
  <si>
    <t>mA</t>
  </si>
  <si>
    <r>
      <t>LED动态电阻</t>
    </r>
    <r>
      <rPr>
        <sz val="11"/>
        <color indexed="8"/>
        <rFont val="宋体"/>
        <family val="0"/>
      </rPr>
      <t>ΔVo/ΔIo</t>
    </r>
  </si>
  <si>
    <r>
      <t xml:space="preserve">电源系统整机转换效率 </t>
    </r>
    <r>
      <rPr>
        <sz val="11"/>
        <color indexed="8"/>
        <rFont val="宋体"/>
        <family val="0"/>
      </rPr>
      <t>ηp</t>
    </r>
  </si>
  <si>
    <t>最大磁通密度 Bmax</t>
  </si>
  <si>
    <t>最小母线峰值电压 Vdc_min</t>
  </si>
  <si>
    <t>最大母线峰值电压 Vdc_max</t>
  </si>
  <si>
    <t>开关管最大耐压 Vds_max</t>
  </si>
  <si>
    <t>输出二极管耐压 Vsd_max</t>
  </si>
  <si>
    <t>最小输出电容 Cout_min</t>
  </si>
  <si>
    <t>变压器原次级侧转换效率 ηt</t>
  </si>
  <si>
    <t>输出电容耐压 Vout_max</t>
  </si>
  <si>
    <t>Vs采样电阻</t>
  </si>
  <si>
    <t>Vpk采样电阻</t>
  </si>
  <si>
    <t>MΩ</t>
  </si>
  <si>
    <t>mS</t>
  </si>
  <si>
    <t>最大启动时间 Ton_d</t>
  </si>
  <si>
    <t>mWalt</t>
  </si>
  <si>
    <t>A</t>
  </si>
  <si>
    <t>电感设计</t>
  </si>
  <si>
    <r>
      <t>使用说明：本设计工具用于BCD</t>
    </r>
    <r>
      <rPr>
        <sz val="11"/>
        <color indexed="8"/>
        <rFont val="宋体"/>
        <family val="0"/>
      </rPr>
      <t>的</t>
    </r>
    <r>
      <rPr>
        <sz val="11"/>
        <color theme="1"/>
        <rFont val="Calibri"/>
        <family val="0"/>
      </rPr>
      <t>A</t>
    </r>
    <r>
      <rPr>
        <sz val="11"/>
        <color indexed="8"/>
        <rFont val="宋体"/>
        <family val="0"/>
      </rPr>
      <t>P</t>
    </r>
    <r>
      <rPr>
        <sz val="11"/>
        <color theme="1"/>
        <rFont val="Calibri"/>
        <family val="0"/>
      </rPr>
      <t xml:space="preserve">1682 PFC PSR </t>
    </r>
    <r>
      <rPr>
        <sz val="11"/>
        <color indexed="8"/>
        <rFont val="宋体"/>
        <family val="0"/>
      </rPr>
      <t>LED驱动IC理论设计。软件中</t>
    </r>
    <r>
      <rPr>
        <sz val="11"/>
        <color indexed="10"/>
        <rFont val="宋体"/>
        <family val="0"/>
      </rPr>
      <t>红色字体</t>
    </r>
    <r>
      <rPr>
        <sz val="11"/>
        <color indexed="8"/>
        <rFont val="宋体"/>
        <family val="0"/>
      </rPr>
      <t>是跟据实际电气参数要求填入，系统将自动算出相关的元件参数</t>
    </r>
    <r>
      <rPr>
        <sz val="11"/>
        <color indexed="8"/>
        <rFont val="宋体"/>
        <family val="0"/>
      </rPr>
      <t xml:space="preserve">( </t>
    </r>
    <r>
      <rPr>
        <sz val="11"/>
        <color indexed="12"/>
        <rFont val="宋体"/>
        <family val="0"/>
      </rPr>
      <t>蓝色字体</t>
    </r>
    <r>
      <rPr>
        <sz val="11"/>
        <color indexed="8"/>
        <rFont val="宋体"/>
        <family val="0"/>
      </rPr>
      <t>）和系统工作参数（</t>
    </r>
    <r>
      <rPr>
        <sz val="11"/>
        <color indexed="14"/>
        <rFont val="宋体"/>
        <family val="0"/>
      </rPr>
      <t>粉红色字体</t>
    </r>
    <r>
      <rPr>
        <sz val="11"/>
        <color indexed="8"/>
        <rFont val="宋体"/>
        <family val="0"/>
      </rPr>
      <t>）。</t>
    </r>
  </si>
  <si>
    <t>V</t>
  </si>
  <si>
    <t>对应于工频正弦波峰值处</t>
  </si>
  <si>
    <t>开关管最大峰值电流 Ippk</t>
  </si>
  <si>
    <t>开关管最大有效值电流 Iprms</t>
  </si>
  <si>
    <t>二极管最大峰值电流 Ispk</t>
  </si>
  <si>
    <t>Tons/Tsw最大值</t>
  </si>
  <si>
    <t>Vpk脚最大值为</t>
  </si>
  <si>
    <t>Vs脚最大值为</t>
  </si>
  <si>
    <r>
      <t>分压系数_K</t>
    </r>
    <r>
      <rPr>
        <sz val="11"/>
        <color indexed="8"/>
        <rFont val="宋体"/>
        <family val="0"/>
      </rPr>
      <t>pk</t>
    </r>
    <r>
      <rPr>
        <sz val="11"/>
        <color indexed="8"/>
        <rFont val="宋体"/>
        <family val="0"/>
      </rPr>
      <t>=</t>
    </r>
  </si>
  <si>
    <r>
      <t>线补偿电阻R</t>
    </r>
    <r>
      <rPr>
        <sz val="11"/>
        <color indexed="8"/>
        <rFont val="宋体"/>
        <family val="0"/>
      </rPr>
      <t>20</t>
    </r>
  </si>
  <si>
    <r>
      <t>Vs pin对地电阻R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=</t>
    </r>
  </si>
  <si>
    <r>
      <t>V</t>
    </r>
    <r>
      <rPr>
        <sz val="11"/>
        <color indexed="8"/>
        <rFont val="宋体"/>
        <family val="0"/>
      </rPr>
      <t>pk</t>
    </r>
    <r>
      <rPr>
        <sz val="11"/>
        <color indexed="8"/>
        <rFont val="宋体"/>
        <family val="0"/>
      </rPr>
      <t xml:space="preserve"> pin对地电阻R</t>
    </r>
    <r>
      <rPr>
        <sz val="11"/>
        <color indexed="8"/>
        <rFont val="宋体"/>
        <family val="0"/>
      </rPr>
      <t>6+R5</t>
    </r>
    <r>
      <rPr>
        <sz val="11"/>
        <color indexed="8"/>
        <rFont val="宋体"/>
        <family val="0"/>
      </rPr>
      <t>=</t>
    </r>
  </si>
  <si>
    <r>
      <t>Vs pin到Vpk之间</t>
    </r>
    <r>
      <rPr>
        <sz val="11"/>
        <color indexed="8"/>
        <rFont val="宋体"/>
        <family val="0"/>
      </rPr>
      <t>电阻R</t>
    </r>
    <r>
      <rPr>
        <sz val="11"/>
        <color indexed="8"/>
        <rFont val="宋体"/>
        <family val="0"/>
      </rPr>
      <t>5=</t>
    </r>
  </si>
  <si>
    <r>
      <t>V</t>
    </r>
    <r>
      <rPr>
        <sz val="11"/>
        <color indexed="8"/>
        <rFont val="宋体"/>
        <family val="0"/>
      </rPr>
      <t>pk</t>
    </r>
    <r>
      <rPr>
        <sz val="11"/>
        <color indexed="8"/>
        <rFont val="宋体"/>
        <family val="0"/>
      </rPr>
      <t xml:space="preserve"> pin上拉电阻R</t>
    </r>
    <r>
      <rPr>
        <sz val="11"/>
        <color indexed="8"/>
        <rFont val="宋体"/>
        <family val="0"/>
      </rPr>
      <t>3+R4</t>
    </r>
    <r>
      <rPr>
        <sz val="11"/>
        <color indexed="8"/>
        <rFont val="宋体"/>
        <family val="0"/>
      </rPr>
      <t>=</t>
    </r>
  </si>
  <si>
    <r>
      <t>CS Pin电阻</t>
    </r>
    <r>
      <rPr>
        <sz val="11"/>
        <color indexed="8"/>
        <rFont val="宋体"/>
        <family val="0"/>
      </rPr>
      <t>R12</t>
    </r>
  </si>
  <si>
    <r>
      <t>二极管最大平均值电流 Is</t>
    </r>
    <r>
      <rPr>
        <sz val="11"/>
        <color indexed="8"/>
        <rFont val="宋体"/>
        <family val="0"/>
      </rPr>
      <t>dc</t>
    </r>
  </si>
  <si>
    <t>由于工作参数的精度问题，实际阻值可能需微调。</t>
  </si>
  <si>
    <t>初级绕组的电流有效值Itprms</t>
  </si>
  <si>
    <t>二极管最大有效值电流 Isrms</t>
  </si>
  <si>
    <t>A</t>
  </si>
  <si>
    <r>
      <t>上拉分压电阻_R</t>
    </r>
    <r>
      <rPr>
        <sz val="11"/>
        <color indexed="8"/>
        <rFont val="宋体"/>
        <family val="0"/>
      </rPr>
      <t>16</t>
    </r>
    <r>
      <rPr>
        <sz val="11"/>
        <color indexed="8"/>
        <rFont val="宋体"/>
        <family val="0"/>
      </rPr>
      <t>=</t>
    </r>
  </si>
  <si>
    <r>
      <t>对地分压电阻_Rl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=</t>
    </r>
  </si>
  <si>
    <r>
      <t>启动电阻_R</t>
    </r>
    <r>
      <rPr>
        <sz val="11"/>
        <color indexed="8"/>
        <rFont val="宋体"/>
        <family val="0"/>
      </rPr>
      <t>8+R9+R10</t>
    </r>
    <r>
      <rPr>
        <sz val="11"/>
        <color indexed="8"/>
        <rFont val="宋体"/>
        <family val="0"/>
      </rPr>
      <t>=</t>
    </r>
  </si>
  <si>
    <r>
      <t>启动电阻功耗_Pr</t>
    </r>
    <r>
      <rPr>
        <sz val="11"/>
        <color indexed="8"/>
        <rFont val="宋体"/>
        <family val="0"/>
      </rPr>
      <t>st</t>
    </r>
    <r>
      <rPr>
        <sz val="11"/>
        <color indexed="8"/>
        <rFont val="宋体"/>
        <family val="0"/>
      </rPr>
      <t>=</t>
    </r>
  </si>
  <si>
    <r>
      <t>实际选用启动电阻_R</t>
    </r>
    <r>
      <rPr>
        <sz val="11"/>
        <color indexed="8"/>
        <rFont val="宋体"/>
        <family val="0"/>
      </rPr>
      <t>8+R9+R10</t>
    </r>
    <r>
      <rPr>
        <sz val="11"/>
        <color indexed="8"/>
        <rFont val="宋体"/>
        <family val="0"/>
      </rPr>
      <t>=</t>
    </r>
  </si>
  <si>
    <r>
      <t xml:space="preserve">Isolated Flyback AP1682 LED驱动电源设计          </t>
    </r>
    <r>
      <rPr>
        <b/>
        <sz val="10"/>
        <rFont val="宋体"/>
        <family val="0"/>
      </rPr>
      <t xml:space="preserve"> V1.6</t>
    </r>
  </si>
  <si>
    <t>选定的Vs/Vpk设计的峰值Kp</t>
  </si>
  <si>
    <t>最大的变压器原副边匝比Nt</t>
  </si>
  <si>
    <t>实际选用的匝比Nt</t>
  </si>
  <si>
    <t>Vcs电流基准的最大值</t>
  </si>
  <si>
    <r>
      <t>满载最低开关频率f</t>
    </r>
    <r>
      <rPr>
        <sz val="11"/>
        <color indexed="8"/>
        <rFont val="宋体"/>
        <family val="0"/>
      </rPr>
      <t>sw_min</t>
    </r>
  </si>
  <si>
    <r>
      <t>Kc=Ton</t>
    </r>
    <r>
      <rPr>
        <sz val="11"/>
        <color theme="1"/>
        <rFont val="Calibri"/>
        <family val="0"/>
      </rPr>
      <t>s/</t>
    </r>
    <r>
      <rPr>
        <sz val="11"/>
        <color indexed="8"/>
        <rFont val="宋体"/>
        <family val="0"/>
      </rPr>
      <t>Tsw峰值</t>
    </r>
    <r>
      <rPr>
        <sz val="11"/>
        <color theme="1"/>
        <rFont val="Calibri"/>
        <family val="0"/>
      </rPr>
      <t xml:space="preserve"> @ Kp=1</t>
    </r>
  </si>
  <si>
    <t>变压器初级电感量_Lp</t>
  </si>
  <si>
    <t>选用变压器的型号_Ttype</t>
  </si>
  <si>
    <t>初级绕组的匝数_Np</t>
  </si>
  <si>
    <r>
      <t xml:space="preserve">次级绕组的匝数 </t>
    </r>
    <r>
      <rPr>
        <sz val="11"/>
        <color indexed="8"/>
        <rFont val="宋体"/>
        <family val="0"/>
      </rPr>
      <t>Ns</t>
    </r>
  </si>
  <si>
    <t>辅助绕组的匝数_Nf</t>
  </si>
  <si>
    <r>
      <t>次级绕组的电流有效值I</t>
    </r>
    <r>
      <rPr>
        <sz val="11"/>
        <color indexed="8"/>
        <rFont val="宋体"/>
        <family val="0"/>
      </rPr>
      <t>tsrms</t>
    </r>
  </si>
  <si>
    <t>Ts</t>
  </si>
  <si>
    <t>Flyback设计建议选1</t>
  </si>
  <si>
    <t>CORE參數對照表</t>
  </si>
  <si>
    <t>TYPE</t>
  </si>
  <si>
    <t>MATE-
RIAL</t>
  </si>
  <si>
    <t>Dimensions (mm)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</si>
  <si>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</si>
  <si>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</si>
  <si>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</si>
  <si>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10"/>
        <color indexed="8"/>
        <rFont val="宋体"/>
        <family val="0"/>
      </rPr>
      <t>L</t>
    </r>
    <r>
      <rPr>
        <b/>
        <sz val="10"/>
        <color indexed="8"/>
        <rFont val="宋体"/>
        <family val="0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</si>
  <si>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</si>
  <si>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</si>
  <si>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</si>
  <si>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10"/>
        <color indexed="8"/>
        <rFont val="宋体"/>
        <family val="0"/>
      </rPr>
      <t>CL</t>
    </r>
    <r>
      <rPr>
        <b/>
        <sz val="10"/>
        <color indexed="8"/>
        <rFont val="宋体"/>
        <family val="0"/>
      </rPr>
      <t xml:space="preserve"> 100kHz 200mT</t>
    </r>
  </si>
  <si>
    <t>Pt  100  kHz</t>
  </si>
  <si>
    <t>幅寬
mm</t>
  </si>
  <si>
    <r>
      <t>窗口面积
mm</t>
    </r>
    <r>
      <rPr>
        <b/>
        <vertAlign val="superscript"/>
        <sz val="10"/>
        <color indexed="8"/>
        <rFont val="宋体"/>
        <family val="0"/>
      </rPr>
      <t>2</t>
    </r>
  </si>
  <si>
    <t>PIN</t>
  </si>
  <si>
    <t>形狀</t>
  </si>
  <si>
    <t>A * B * C</t>
  </si>
  <si>
    <r>
      <t>( cm</t>
    </r>
    <r>
      <rPr>
        <b/>
        <vertAlign val="superscript"/>
        <sz val="10"/>
        <color indexed="8"/>
        <rFont val="宋体"/>
        <family val="0"/>
      </rPr>
      <t xml:space="preserve">4 </t>
    </r>
    <r>
      <rPr>
        <b/>
        <sz val="10"/>
        <color indexed="8"/>
        <rFont val="宋体"/>
        <family val="0"/>
      </rPr>
      <t>)</t>
    </r>
  </si>
  <si>
    <r>
      <t xml:space="preserve"> ( mm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 xml:space="preserve"> )</t>
    </r>
  </si>
  <si>
    <r>
      <t>( mm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 xml:space="preserve"> )</t>
    </r>
  </si>
  <si>
    <r>
      <t>(nH/N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)</t>
    </r>
  </si>
  <si>
    <t xml:space="preserve"> ( mm )</t>
  </si>
  <si>
    <r>
      <t xml:space="preserve"> ( mm</t>
    </r>
    <r>
      <rPr>
        <b/>
        <vertAlign val="superscript"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 xml:space="preserve"> )</t>
    </r>
  </si>
  <si>
    <t xml:space="preserve"> ( g )</t>
  </si>
  <si>
    <t xml:space="preserve"> @100℃(W)</t>
  </si>
  <si>
    <t>(W)</t>
  </si>
  <si>
    <t xml:space="preserve">  可配合BOBBIN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</si>
  <si>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</si>
  <si>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</si>
  <si>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</si>
  <si>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</si>
  <si>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</si>
  <si>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</si>
  <si>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</si>
  <si>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</si>
  <si>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</si>
  <si>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</si>
  <si>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</si>
  <si>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</si>
  <si>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TYPE  EE  CORE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</si>
  <si>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</si>
  <si>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</si>
  <si>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</si>
  <si>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</si>
  <si>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</si>
  <si>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</si>
  <si>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</si>
  <si>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</si>
  <si>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</si>
  <si>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</si>
  <si>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V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</si>
  <si>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</si>
  <si>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</si>
  <si>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</si>
  <si>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</si>
  <si>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</si>
  <si>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</si>
  <si>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</si>
  <si>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</si>
  <si>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</si>
  <si>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</si>
  <si>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</si>
  <si>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</si>
  <si>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</si>
  <si>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</si>
  <si>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</si>
  <si>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</si>
  <si>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</si>
  <si>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</si>
  <si>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</si>
  <si>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</si>
  <si>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</si>
  <si>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</si>
  <si>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</si>
  <si>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</si>
  <si>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</si>
  <si>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</si>
  <si>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</si>
  <si>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</si>
  <si>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</si>
  <si>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</si>
  <si>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</si>
  <si>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</si>
  <si>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</si>
  <si>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</si>
  <si>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</si>
  <si>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</si>
  <si>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</si>
  <si>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</si>
  <si>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</si>
  <si>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</si>
  <si>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</si>
  <si>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</si>
  <si>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</si>
  <si>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</si>
  <si>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</si>
  <si>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</si>
  <si>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</si>
  <si>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</si>
  <si>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</si>
  <si>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</si>
  <si>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</si>
  <si>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</si>
  <si>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</si>
  <si>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</si>
  <si>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</si>
  <si>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</si>
  <si>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</si>
  <si>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</si>
  <si>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</si>
  <si>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</si>
  <si>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</si>
  <si>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</si>
  <si>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</si>
  <si>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</si>
  <si>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</si>
  <si>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</si>
  <si>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</si>
  <si>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</si>
  <si>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</si>
  <si>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</si>
  <si>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</si>
  <si>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</si>
  <si>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</si>
  <si>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</si>
  <si>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</si>
  <si>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</si>
  <si>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</si>
  <si>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</si>
  <si>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</si>
  <si>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</si>
  <si>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</si>
  <si>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</si>
  <si>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</si>
  <si>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</si>
  <si>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</si>
  <si>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</si>
  <si>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</si>
  <si>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</si>
  <si>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</si>
  <si>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</si>
  <si>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</si>
  <si>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</si>
  <si>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</si>
  <si>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</si>
  <si>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</si>
  <si>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</si>
  <si>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</si>
  <si>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</si>
  <si>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</si>
  <si>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</si>
  <si>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</si>
  <si>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</si>
  <si>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</si>
  <si>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</si>
  <si>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</si>
  <si>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</si>
  <si>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</si>
  <si>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</si>
  <si>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</si>
  <si>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</si>
  <si>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</si>
  <si>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</si>
  <si>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</si>
  <si>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</si>
  <si>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</si>
  <si>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</si>
  <si>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</si>
  <si>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</si>
  <si>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</si>
  <si>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</si>
  <si>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</si>
  <si>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</si>
  <si>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</si>
  <si>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</si>
  <si>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</si>
  <si>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</si>
  <si>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</si>
  <si>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</si>
  <si>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</si>
  <si>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</si>
  <si>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</si>
  <si>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</si>
  <si>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</si>
  <si>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</si>
  <si>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</si>
  <si>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</si>
  <si>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</si>
  <si>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</si>
  <si>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</si>
  <si>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</si>
  <si>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</si>
  <si>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</si>
  <si>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</si>
  <si>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</si>
  <si>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</si>
  <si>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</si>
  <si>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</si>
  <si>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</si>
  <si>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</si>
  <si>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</si>
  <si>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</si>
  <si>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</si>
  <si>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</si>
  <si>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</si>
  <si>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</si>
  <si>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</si>
  <si>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</si>
  <si>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</si>
  <si>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</si>
  <si>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</si>
  <si>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</si>
  <si>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</si>
  <si>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10--12</t>
  </si>
  <si>
    <t>H  V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</si>
  <si>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</si>
  <si>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</si>
  <si>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</si>
  <si>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</si>
  <si>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</si>
  <si>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</si>
  <si>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</si>
  <si>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</si>
  <si>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</si>
  <si>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</si>
  <si>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</si>
  <si>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</si>
  <si>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</si>
  <si>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</si>
  <si>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</si>
  <si>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</si>
  <si>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</si>
  <si>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</si>
  <si>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</si>
  <si>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</si>
  <si>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</si>
  <si>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</si>
  <si>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</si>
  <si>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</si>
  <si>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</si>
  <si>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</si>
  <si>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</si>
  <si>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</si>
  <si>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</si>
  <si>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</si>
  <si>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</si>
  <si>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</si>
  <si>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</si>
  <si>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</si>
  <si>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</si>
  <si>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</si>
  <si>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</si>
  <si>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</si>
  <si>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</si>
  <si>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</si>
  <si>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</si>
  <si>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</si>
  <si>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</si>
  <si>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</si>
  <si>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</si>
  <si>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</si>
  <si>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</si>
  <si>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</si>
  <si>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</si>
  <si>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</si>
  <si>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</si>
  <si>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</si>
  <si>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</si>
  <si>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</si>
  <si>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</si>
  <si>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</si>
  <si>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</si>
  <si>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</si>
  <si>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</si>
  <si>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</si>
  <si>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</si>
  <si>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</si>
  <si>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</si>
  <si>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</si>
  <si>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</si>
  <si>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</si>
  <si>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</si>
  <si>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</si>
  <si>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</si>
  <si>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</si>
  <si>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</si>
  <si>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</si>
  <si>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</si>
  <si>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</si>
  <si>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</si>
  <si>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</si>
  <si>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</si>
  <si>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</si>
  <si>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</si>
  <si>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</si>
  <si>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</si>
  <si>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</si>
  <si>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</si>
  <si>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</si>
  <si>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</si>
  <si>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</si>
  <si>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</si>
  <si>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</si>
  <si>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</si>
  <si>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</si>
  <si>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</si>
  <si>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</si>
  <si>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</si>
  <si>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</si>
  <si>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</si>
  <si>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</si>
  <si>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</si>
  <si>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</si>
  <si>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</si>
  <si>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</si>
  <si>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</si>
  <si>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</si>
  <si>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</si>
  <si>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</si>
  <si>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</si>
  <si>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</si>
  <si>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</si>
  <si>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</si>
  <si>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</si>
  <si>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</si>
  <si>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</si>
  <si>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</si>
  <si>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</si>
  <si>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</si>
  <si>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</si>
  <si>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</si>
  <si>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</si>
  <si>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</si>
  <si>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</si>
  <si>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</si>
  <si>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</si>
  <si>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</si>
  <si>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</si>
  <si>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</si>
  <si>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</si>
  <si>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</si>
  <si>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</si>
  <si>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</si>
  <si>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</si>
  <si>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</si>
  <si>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</si>
  <si>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t>mm</t>
  </si>
  <si>
    <r>
      <t xml:space="preserve">辅助绕组电压 </t>
    </r>
    <r>
      <rPr>
        <sz val="11"/>
        <color theme="1"/>
        <rFont val="Calibri"/>
        <family val="0"/>
      </rPr>
      <t>Vcc=</t>
    </r>
  </si>
  <si>
    <t>绕组电流密度</t>
  </si>
  <si>
    <t>A/m㎡</t>
  </si>
  <si>
    <t>原边绕组所需股数</t>
  </si>
  <si>
    <t>副边绕组所需股数</t>
  </si>
  <si>
    <t>副边绕组选用线径</t>
  </si>
  <si>
    <t>原边绕组选用线径</t>
  </si>
  <si>
    <r>
      <t>E</t>
    </r>
    <r>
      <rPr>
        <b/>
        <sz val="11"/>
        <color indexed="10"/>
        <rFont val="宋体"/>
        <family val="0"/>
      </rPr>
      <t>DR2610</t>
    </r>
  </si>
  <si>
    <r>
      <t>M</t>
    </r>
    <r>
      <rPr>
        <sz val="11"/>
        <color theme="1"/>
        <rFont val="Calibri"/>
        <family val="0"/>
      </rPr>
      <t>in Input AC Voltage(</t>
    </r>
    <r>
      <rPr>
        <sz val="11"/>
        <color indexed="8"/>
        <rFont val="宋体"/>
        <family val="0"/>
      </rPr>
      <t>Vac_min</t>
    </r>
    <r>
      <rPr>
        <sz val="11"/>
        <color theme="1"/>
        <rFont val="Calibri"/>
        <family val="0"/>
      </rPr>
      <t>)</t>
    </r>
  </si>
  <si>
    <r>
      <t>M</t>
    </r>
    <r>
      <rPr>
        <sz val="11"/>
        <color theme="1"/>
        <rFont val="Calibri"/>
        <family val="0"/>
      </rPr>
      <t>ax Input AC Voltage(</t>
    </r>
    <r>
      <rPr>
        <sz val="11"/>
        <color indexed="8"/>
        <rFont val="宋体"/>
        <family val="0"/>
      </rPr>
      <t>Vac_max</t>
    </r>
    <r>
      <rPr>
        <sz val="11"/>
        <color theme="1"/>
        <rFont val="Calibri"/>
        <family val="0"/>
      </rPr>
      <t>)</t>
    </r>
  </si>
  <si>
    <r>
      <t>A</t>
    </r>
    <r>
      <rPr>
        <sz val="11"/>
        <color theme="1"/>
        <rFont val="Calibri"/>
        <family val="0"/>
      </rPr>
      <t>C Line Frequency</t>
    </r>
  </si>
  <si>
    <t>Min Switching Frequency @ Full Load</t>
  </si>
  <si>
    <r>
      <t>Total Power Conversion Efficiency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(</t>
    </r>
    <r>
      <rPr>
        <sz val="11"/>
        <color indexed="8"/>
        <rFont val="宋体"/>
        <family val="0"/>
      </rPr>
      <t>ηp</t>
    </r>
    <r>
      <rPr>
        <sz val="11"/>
        <color theme="1"/>
        <rFont val="Calibri"/>
        <family val="0"/>
      </rPr>
      <t>)</t>
    </r>
  </si>
  <si>
    <r>
      <t>P</t>
    </r>
    <r>
      <rPr>
        <sz val="11"/>
        <color indexed="8"/>
        <rFont val="宋体"/>
        <family val="0"/>
      </rPr>
      <t xml:space="preserve">ower </t>
    </r>
    <r>
      <rPr>
        <sz val="11"/>
        <color theme="1"/>
        <rFont val="Calibri"/>
        <family val="0"/>
      </rPr>
      <t>Factor</t>
    </r>
  </si>
  <si>
    <r>
      <t>LED</t>
    </r>
    <r>
      <rPr>
        <sz val="11"/>
        <color theme="1"/>
        <rFont val="Calibri"/>
        <family val="0"/>
      </rPr>
      <t xml:space="preserve"> Cell Forward Voltage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(</t>
    </r>
    <r>
      <rPr>
        <sz val="11"/>
        <color indexed="8"/>
        <rFont val="宋体"/>
        <family val="0"/>
      </rPr>
      <t>V</t>
    </r>
    <r>
      <rPr>
        <sz val="11"/>
        <color theme="1"/>
        <rFont val="Calibri"/>
        <family val="0"/>
      </rPr>
      <t>f)</t>
    </r>
  </si>
  <si>
    <r>
      <t>LED</t>
    </r>
    <r>
      <rPr>
        <sz val="11"/>
        <color theme="1"/>
        <rFont val="Calibri"/>
        <family val="0"/>
      </rPr>
      <t xml:space="preserve"> Current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(</t>
    </r>
    <r>
      <rPr>
        <sz val="11"/>
        <color indexed="8"/>
        <rFont val="宋体"/>
        <family val="0"/>
      </rPr>
      <t>Iled</t>
    </r>
    <r>
      <rPr>
        <sz val="11"/>
        <color theme="1"/>
        <rFont val="Calibri"/>
        <family val="0"/>
      </rPr>
      <t>)</t>
    </r>
  </si>
  <si>
    <r>
      <t>LED</t>
    </r>
    <r>
      <rPr>
        <sz val="11"/>
        <color theme="1"/>
        <rFont val="Calibri"/>
        <family val="0"/>
      </rPr>
      <t xml:space="preserve"> Cell Numbers in Serials(</t>
    </r>
    <r>
      <rPr>
        <sz val="11"/>
        <color indexed="8"/>
        <rFont val="宋体"/>
        <family val="0"/>
      </rPr>
      <t>Qsled</t>
    </r>
    <r>
      <rPr>
        <sz val="11"/>
        <color theme="1"/>
        <rFont val="Calibri"/>
        <family val="0"/>
      </rPr>
      <t>)</t>
    </r>
  </si>
  <si>
    <r>
      <t>LED</t>
    </r>
    <r>
      <rPr>
        <sz val="11"/>
        <color theme="1"/>
        <rFont val="Calibri"/>
        <family val="0"/>
      </rPr>
      <t xml:space="preserve"> Chain Numbers in Parallel(</t>
    </r>
    <r>
      <rPr>
        <sz val="11"/>
        <color indexed="8"/>
        <rFont val="宋体"/>
        <family val="0"/>
      </rPr>
      <t>Qpled</t>
    </r>
    <r>
      <rPr>
        <sz val="11"/>
        <color theme="1"/>
        <rFont val="Calibri"/>
        <family val="0"/>
      </rPr>
      <t>)</t>
    </r>
  </si>
  <si>
    <t>Vout</t>
  </si>
  <si>
    <t>Iout</t>
  </si>
  <si>
    <r>
      <rPr>
        <sz val="11"/>
        <color theme="1"/>
        <rFont val="Calibri"/>
        <family val="0"/>
      </rPr>
      <t>Output Power (</t>
    </r>
    <r>
      <rPr>
        <sz val="11"/>
        <color indexed="8"/>
        <rFont val="宋体"/>
        <family val="0"/>
      </rPr>
      <t>Pout</t>
    </r>
    <r>
      <rPr>
        <sz val="11"/>
        <color theme="1"/>
        <rFont val="Calibri"/>
        <family val="0"/>
      </rPr>
      <t>)</t>
    </r>
  </si>
  <si>
    <r>
      <t>O</t>
    </r>
    <r>
      <rPr>
        <sz val="11"/>
        <color theme="1"/>
        <rFont val="Calibri"/>
        <family val="0"/>
      </rPr>
      <t>utpur Current Ripple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(</t>
    </r>
    <r>
      <rPr>
        <sz val="11"/>
        <color indexed="8"/>
        <rFont val="宋体"/>
        <family val="0"/>
      </rPr>
      <t>Io_ripple_pp</t>
    </r>
    <r>
      <rPr>
        <sz val="11"/>
        <color theme="1"/>
        <rFont val="Calibri"/>
        <family val="0"/>
      </rPr>
      <t>)</t>
    </r>
  </si>
  <si>
    <r>
      <t>LED</t>
    </r>
    <r>
      <rPr>
        <sz val="11"/>
        <color theme="1"/>
        <rFont val="Calibri"/>
        <family val="0"/>
      </rPr>
      <t xml:space="preserve"> Load Dynamic Resistance (</t>
    </r>
    <r>
      <rPr>
        <sz val="11"/>
        <color indexed="8"/>
        <rFont val="宋体"/>
        <family val="0"/>
      </rPr>
      <t>ΔVo/Δ</t>
    </r>
    <r>
      <rPr>
        <sz val="11"/>
        <color theme="1"/>
        <rFont val="Calibri"/>
        <family val="0"/>
      </rPr>
      <t>io)</t>
    </r>
  </si>
  <si>
    <t>Transformer Conversion Efficiency (ηt)</t>
  </si>
  <si>
    <t>Customrized Max Vs/Vpk (Kp)</t>
  </si>
  <si>
    <r>
      <rPr>
        <sz val="11"/>
        <color indexed="8"/>
        <rFont val="宋体"/>
        <family val="0"/>
      </rPr>
      <t xml:space="preserve">Peak Value of </t>
    </r>
    <r>
      <rPr>
        <sz val="11"/>
        <color indexed="8"/>
        <rFont val="宋体"/>
        <family val="0"/>
      </rPr>
      <t>Kc=Ton</t>
    </r>
    <r>
      <rPr>
        <sz val="11"/>
        <color theme="1"/>
        <rFont val="Calibri"/>
        <family val="0"/>
      </rPr>
      <t>s/</t>
    </r>
    <r>
      <rPr>
        <sz val="11"/>
        <color indexed="8"/>
        <rFont val="宋体"/>
        <family val="0"/>
      </rPr>
      <t>Tsw</t>
    </r>
    <r>
      <rPr>
        <sz val="11"/>
        <color theme="1"/>
        <rFont val="Calibri"/>
        <family val="0"/>
      </rPr>
      <t xml:space="preserve"> @ Kp=1</t>
    </r>
  </si>
  <si>
    <r>
      <t>M</t>
    </r>
    <r>
      <rPr>
        <sz val="11"/>
        <color indexed="8"/>
        <rFont val="宋体"/>
        <family val="0"/>
      </rPr>
      <t xml:space="preserve">ax </t>
    </r>
    <r>
      <rPr>
        <sz val="11"/>
        <color theme="1"/>
        <rFont val="Calibri"/>
        <family val="0"/>
      </rPr>
      <t>Tons/Tsw</t>
    </r>
  </si>
  <si>
    <r>
      <t xml:space="preserve">Permittable Max Transformer Turns Ratio </t>
    </r>
    <r>
      <rPr>
        <sz val="11"/>
        <rFont val="宋体"/>
        <family val="0"/>
      </rPr>
      <t>Nt</t>
    </r>
  </si>
  <si>
    <r>
      <t xml:space="preserve">Customerized Transformer Turns Ratio </t>
    </r>
    <r>
      <rPr>
        <sz val="11"/>
        <rFont val="宋体"/>
        <family val="0"/>
      </rPr>
      <t>Nt</t>
    </r>
  </si>
  <si>
    <r>
      <t>M</t>
    </r>
    <r>
      <rPr>
        <sz val="11"/>
        <color indexed="8"/>
        <rFont val="宋体"/>
        <family val="0"/>
      </rPr>
      <t xml:space="preserve">ax Peak Current Reference </t>
    </r>
    <r>
      <rPr>
        <sz val="11"/>
        <color theme="1"/>
        <rFont val="Calibri"/>
        <family val="0"/>
      </rPr>
      <t>Vcs</t>
    </r>
  </si>
  <si>
    <r>
      <t xml:space="preserve">Min </t>
    </r>
    <r>
      <rPr>
        <sz val="11"/>
        <color indexed="8"/>
        <rFont val="宋体"/>
        <family val="0"/>
      </rPr>
      <t>P</t>
    </r>
    <r>
      <rPr>
        <sz val="11"/>
        <color theme="1"/>
        <rFont val="Calibri"/>
        <family val="0"/>
      </rPr>
      <t>eak Value of DC Bus Voltage(</t>
    </r>
    <r>
      <rPr>
        <sz val="11"/>
        <color indexed="8"/>
        <rFont val="宋体"/>
        <family val="0"/>
      </rPr>
      <t>Vdc_min</t>
    </r>
    <r>
      <rPr>
        <sz val="11"/>
        <color theme="1"/>
        <rFont val="Calibri"/>
        <family val="0"/>
      </rPr>
      <t>)</t>
    </r>
  </si>
  <si>
    <r>
      <t>M</t>
    </r>
    <r>
      <rPr>
        <sz val="11"/>
        <color theme="1"/>
        <rFont val="Calibri"/>
        <family val="0"/>
      </rPr>
      <t xml:space="preserve">OSFET Voltage Stress </t>
    </r>
    <r>
      <rPr>
        <sz val="11"/>
        <color indexed="8"/>
        <rFont val="宋体"/>
        <family val="0"/>
      </rPr>
      <t>Vds_max</t>
    </r>
  </si>
  <si>
    <r>
      <t>Max M</t>
    </r>
    <r>
      <rPr>
        <sz val="11"/>
        <color theme="1"/>
        <rFont val="Calibri"/>
        <family val="0"/>
      </rPr>
      <t>OSFET Peak Current Value(</t>
    </r>
    <r>
      <rPr>
        <sz val="11"/>
        <color indexed="8"/>
        <rFont val="宋体"/>
        <family val="0"/>
      </rPr>
      <t>Ippk</t>
    </r>
    <r>
      <rPr>
        <sz val="11"/>
        <color theme="1"/>
        <rFont val="Calibri"/>
        <family val="0"/>
      </rPr>
      <t>)</t>
    </r>
  </si>
  <si>
    <r>
      <t xml:space="preserve">Max </t>
    </r>
    <r>
      <rPr>
        <sz val="11"/>
        <color indexed="8"/>
        <rFont val="宋体"/>
        <family val="0"/>
      </rPr>
      <t>M</t>
    </r>
    <r>
      <rPr>
        <sz val="11"/>
        <color theme="1"/>
        <rFont val="Calibri"/>
        <family val="0"/>
      </rPr>
      <t>OSFET RMS Current Value (</t>
    </r>
    <r>
      <rPr>
        <sz val="11"/>
        <color indexed="8"/>
        <rFont val="宋体"/>
        <family val="0"/>
      </rPr>
      <t>Iprms</t>
    </r>
    <r>
      <rPr>
        <sz val="11"/>
        <color theme="1"/>
        <rFont val="Calibri"/>
        <family val="0"/>
      </rPr>
      <t>)</t>
    </r>
  </si>
  <si>
    <t xml:space="preserve">Design Data </t>
  </si>
  <si>
    <t>Max Peak Value of DC Bus Voltage(Vdc_max)</t>
  </si>
  <si>
    <r>
      <t>R</t>
    </r>
    <r>
      <rPr>
        <sz val="11"/>
        <color theme="1"/>
        <rFont val="Calibri"/>
        <family val="0"/>
      </rPr>
      <t xml:space="preserve">ectify Diode Voltage Stress </t>
    </r>
    <r>
      <rPr>
        <sz val="11"/>
        <color indexed="8"/>
        <rFont val="宋体"/>
        <family val="0"/>
      </rPr>
      <t>Vsd_max</t>
    </r>
  </si>
  <si>
    <r>
      <rPr>
        <sz val="11"/>
        <color indexed="8"/>
        <rFont val="宋体"/>
        <family val="0"/>
      </rPr>
      <t xml:space="preserve">Max </t>
    </r>
    <r>
      <rPr>
        <sz val="11"/>
        <color indexed="8"/>
        <rFont val="宋体"/>
        <family val="0"/>
      </rPr>
      <t>D</t>
    </r>
    <r>
      <rPr>
        <sz val="11"/>
        <color theme="1"/>
        <rFont val="Calibri"/>
        <family val="0"/>
      </rPr>
      <t>iode Peak Current Value(</t>
    </r>
    <r>
      <rPr>
        <sz val="11"/>
        <color indexed="8"/>
        <rFont val="宋体"/>
        <family val="0"/>
      </rPr>
      <t>Ispk</t>
    </r>
    <r>
      <rPr>
        <sz val="11"/>
        <color theme="1"/>
        <rFont val="Calibri"/>
        <family val="0"/>
      </rPr>
      <t>)</t>
    </r>
  </si>
  <si>
    <r>
      <t>Max Diode Average Current Value(</t>
    </r>
    <r>
      <rPr>
        <sz val="11"/>
        <color indexed="8"/>
        <rFont val="宋体"/>
        <family val="0"/>
      </rPr>
      <t>Is</t>
    </r>
    <r>
      <rPr>
        <sz val="11"/>
        <color indexed="8"/>
        <rFont val="宋体"/>
        <family val="0"/>
      </rPr>
      <t>dc</t>
    </r>
    <r>
      <rPr>
        <sz val="11"/>
        <color theme="1"/>
        <rFont val="Calibri"/>
        <family val="0"/>
      </rPr>
      <t>)</t>
    </r>
  </si>
  <si>
    <r>
      <rPr>
        <sz val="11"/>
        <color indexed="8"/>
        <rFont val="宋体"/>
        <family val="0"/>
      </rPr>
      <t xml:space="preserve">Max </t>
    </r>
    <r>
      <rPr>
        <sz val="11"/>
        <color indexed="8"/>
        <rFont val="宋体"/>
        <family val="0"/>
      </rPr>
      <t>D</t>
    </r>
    <r>
      <rPr>
        <sz val="11"/>
        <color theme="1"/>
        <rFont val="Calibri"/>
        <family val="0"/>
      </rPr>
      <t>iode RMS Current Value (</t>
    </r>
    <r>
      <rPr>
        <sz val="11"/>
        <color indexed="8"/>
        <rFont val="宋体"/>
        <family val="0"/>
      </rPr>
      <t>Isrms</t>
    </r>
    <r>
      <rPr>
        <sz val="11"/>
        <color theme="1"/>
        <rFont val="Calibri"/>
        <family val="0"/>
      </rPr>
      <t>)</t>
    </r>
  </si>
  <si>
    <t>Key Operation Parameters Selection</t>
  </si>
  <si>
    <r>
      <t>C</t>
    </r>
    <r>
      <rPr>
        <sz val="11"/>
        <color indexed="8"/>
        <rFont val="宋体"/>
        <family val="0"/>
      </rPr>
      <t xml:space="preserve">urrent Sense Resistor Value </t>
    </r>
    <r>
      <rPr>
        <sz val="11"/>
        <color indexed="8"/>
        <rFont val="宋体"/>
        <family val="0"/>
      </rPr>
      <t>Rcs=</t>
    </r>
  </si>
  <si>
    <r>
      <rPr>
        <sz val="11"/>
        <color indexed="8"/>
        <rFont val="宋体"/>
        <family val="0"/>
      </rPr>
      <t>P</t>
    </r>
    <r>
      <rPr>
        <sz val="11"/>
        <color theme="1"/>
        <rFont val="Calibri"/>
        <family val="0"/>
      </rPr>
      <t>ower Loss of Rcs (</t>
    </r>
    <r>
      <rPr>
        <sz val="11"/>
        <color indexed="8"/>
        <rFont val="宋体"/>
        <family val="0"/>
      </rPr>
      <t>Prcs</t>
    </r>
    <r>
      <rPr>
        <sz val="11"/>
        <color theme="1"/>
        <rFont val="Calibri"/>
        <family val="0"/>
      </rPr>
      <t>)</t>
    </r>
    <r>
      <rPr>
        <sz val="11"/>
        <color indexed="8"/>
        <rFont val="宋体"/>
        <family val="0"/>
      </rPr>
      <t>=</t>
    </r>
  </si>
  <si>
    <t>Current Sense Resistor</t>
  </si>
  <si>
    <t>Transformer Design</t>
  </si>
  <si>
    <r>
      <t>M</t>
    </r>
    <r>
      <rPr>
        <sz val="11"/>
        <color indexed="8"/>
        <rFont val="宋体"/>
        <family val="0"/>
      </rPr>
      <t xml:space="preserve">aximum Flux Density </t>
    </r>
    <r>
      <rPr>
        <sz val="11"/>
        <color indexed="8"/>
        <rFont val="宋体"/>
        <family val="0"/>
      </rPr>
      <t>Bmax</t>
    </r>
  </si>
  <si>
    <r>
      <t>Calculated Inductor</t>
    </r>
    <r>
      <rPr>
        <sz val="11"/>
        <color theme="1"/>
        <rFont val="Calibri"/>
        <family val="0"/>
      </rPr>
      <t xml:space="preserve"> Inductance (</t>
    </r>
    <r>
      <rPr>
        <sz val="11"/>
        <color indexed="8"/>
        <rFont val="宋体"/>
        <family val="0"/>
      </rPr>
      <t>Lp</t>
    </r>
    <r>
      <rPr>
        <sz val="11"/>
        <color theme="1"/>
        <rFont val="Calibri"/>
        <family val="0"/>
      </rPr>
      <t>)</t>
    </r>
    <r>
      <rPr>
        <sz val="11"/>
        <color indexed="8"/>
        <rFont val="宋体"/>
        <family val="0"/>
      </rPr>
      <t>=</t>
    </r>
  </si>
  <si>
    <r>
      <t>F</t>
    </r>
    <r>
      <rPr>
        <sz val="11"/>
        <color indexed="8"/>
        <rFont val="宋体"/>
        <family val="0"/>
      </rPr>
      <t xml:space="preserve">errite Core Shape </t>
    </r>
    <r>
      <rPr>
        <sz val="11"/>
        <color indexed="8"/>
        <rFont val="宋体"/>
        <family val="0"/>
      </rPr>
      <t>Ttype=</t>
    </r>
  </si>
  <si>
    <r>
      <t>P</t>
    </r>
    <r>
      <rPr>
        <sz val="11"/>
        <color indexed="8"/>
        <rFont val="宋体"/>
        <family val="0"/>
      </rPr>
      <t xml:space="preserve">rimary Winding Turns Number </t>
    </r>
    <r>
      <rPr>
        <sz val="11"/>
        <color indexed="8"/>
        <rFont val="宋体"/>
        <family val="0"/>
      </rPr>
      <t>Np=</t>
    </r>
  </si>
  <si>
    <t>Secondary Winding Truns Number Ns=</t>
  </si>
  <si>
    <r>
      <t>A</t>
    </r>
    <r>
      <rPr>
        <sz val="11"/>
        <color indexed="8"/>
        <rFont val="宋体"/>
        <family val="0"/>
      </rPr>
      <t xml:space="preserve">ux Winding Truns Number </t>
    </r>
    <r>
      <rPr>
        <sz val="11"/>
        <color indexed="8"/>
        <rFont val="宋体"/>
        <family val="0"/>
      </rPr>
      <t>Nf=</t>
    </r>
  </si>
  <si>
    <r>
      <rPr>
        <sz val="11"/>
        <color theme="1"/>
        <rFont val="Calibri"/>
        <family val="0"/>
      </rPr>
      <t xml:space="preserve">Customarized Inductance </t>
    </r>
    <r>
      <rPr>
        <sz val="11"/>
        <color indexed="8"/>
        <rFont val="宋体"/>
        <family val="0"/>
      </rPr>
      <t>Lp=</t>
    </r>
  </si>
  <si>
    <r>
      <t>E</t>
    </r>
    <r>
      <rPr>
        <sz val="11"/>
        <color indexed="8"/>
        <rFont val="宋体"/>
        <family val="0"/>
      </rPr>
      <t xml:space="preserve">ffective Area of Ferrite Core </t>
    </r>
    <r>
      <rPr>
        <sz val="11"/>
        <color indexed="8"/>
        <rFont val="宋体"/>
        <family val="0"/>
      </rPr>
      <t>Ae=</t>
    </r>
  </si>
  <si>
    <r>
      <t>Max Primary Winding RMS Current Value</t>
    </r>
    <r>
      <rPr>
        <sz val="11"/>
        <color theme="1"/>
        <rFont val="Calibri"/>
        <family val="0"/>
      </rPr>
      <t xml:space="preserve"> (</t>
    </r>
    <r>
      <rPr>
        <sz val="11"/>
        <color indexed="8"/>
        <rFont val="宋体"/>
        <family val="0"/>
      </rPr>
      <t>Itprms</t>
    </r>
    <r>
      <rPr>
        <sz val="11"/>
        <color theme="1"/>
        <rFont val="Calibri"/>
        <family val="0"/>
      </rPr>
      <t>)</t>
    </r>
  </si>
  <si>
    <r>
      <t>Max Secondary Winding RMS Current Value</t>
    </r>
    <r>
      <rPr>
        <sz val="11"/>
        <color theme="1"/>
        <rFont val="Calibri"/>
        <family val="0"/>
      </rPr>
      <t xml:space="preserve"> (</t>
    </r>
    <r>
      <rPr>
        <sz val="11"/>
        <color indexed="8"/>
        <rFont val="宋体"/>
        <family val="0"/>
      </rPr>
      <t>Itprms</t>
    </r>
    <r>
      <rPr>
        <sz val="11"/>
        <color theme="1"/>
        <rFont val="Calibri"/>
        <family val="0"/>
      </rPr>
      <t>)</t>
    </r>
  </si>
  <si>
    <r>
      <t>Vpk</t>
    </r>
    <r>
      <rPr>
        <b/>
        <sz val="14"/>
        <color indexed="8"/>
        <rFont val="宋体"/>
        <family val="0"/>
      </rPr>
      <t xml:space="preserve"> Sense Resistor Design</t>
    </r>
  </si>
  <si>
    <r>
      <t>Divider</t>
    </r>
    <r>
      <rPr>
        <sz val="11"/>
        <color indexed="8"/>
        <rFont val="宋体"/>
        <family val="0"/>
      </rPr>
      <t xml:space="preserve"> Proportion</t>
    </r>
    <r>
      <rPr>
        <sz val="11"/>
        <color theme="1"/>
        <rFont val="Calibri"/>
        <family val="0"/>
      </rPr>
      <t xml:space="preserve"> (</t>
    </r>
    <r>
      <rPr>
        <sz val="11"/>
        <color indexed="8"/>
        <rFont val="宋体"/>
        <family val="0"/>
      </rPr>
      <t>K</t>
    </r>
    <r>
      <rPr>
        <sz val="11"/>
        <color indexed="8"/>
        <rFont val="宋体"/>
        <family val="0"/>
      </rPr>
      <t>pk</t>
    </r>
    <r>
      <rPr>
        <sz val="11"/>
        <color theme="1"/>
        <rFont val="Calibri"/>
        <family val="0"/>
      </rPr>
      <t>)</t>
    </r>
  </si>
  <si>
    <r>
      <t>V</t>
    </r>
    <r>
      <rPr>
        <sz val="11"/>
        <color indexed="8"/>
        <rFont val="宋体"/>
        <family val="0"/>
      </rPr>
      <t>pk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P</t>
    </r>
    <r>
      <rPr>
        <sz val="11"/>
        <color indexed="8"/>
        <rFont val="宋体"/>
        <family val="0"/>
      </rPr>
      <t>in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P</t>
    </r>
    <r>
      <rPr>
        <sz val="11"/>
        <color theme="1"/>
        <rFont val="Calibri"/>
        <family val="0"/>
      </rPr>
      <t>ull</t>
    </r>
    <r>
      <rPr>
        <sz val="11"/>
        <color indexed="8"/>
        <rFont val="宋体"/>
        <family val="0"/>
      </rPr>
      <t>-U</t>
    </r>
    <r>
      <rPr>
        <sz val="11"/>
        <color theme="1"/>
        <rFont val="Calibri"/>
        <family val="0"/>
      </rPr>
      <t>p</t>
    </r>
    <r>
      <rPr>
        <sz val="11"/>
        <color indexed="8"/>
        <rFont val="宋体"/>
        <family val="0"/>
      </rPr>
      <t xml:space="preserve"> Resistance</t>
    </r>
    <r>
      <rPr>
        <sz val="11"/>
        <color theme="1"/>
        <rFont val="Calibri"/>
        <family val="0"/>
      </rPr>
      <t xml:space="preserve"> (</t>
    </r>
    <r>
      <rPr>
        <sz val="11"/>
        <color indexed="8"/>
        <rFont val="宋体"/>
        <family val="0"/>
      </rPr>
      <t>R</t>
    </r>
    <r>
      <rPr>
        <sz val="11"/>
        <color indexed="8"/>
        <rFont val="宋体"/>
        <family val="0"/>
      </rPr>
      <t>3+R4</t>
    </r>
    <r>
      <rPr>
        <sz val="11"/>
        <color theme="1"/>
        <rFont val="Calibri"/>
        <family val="0"/>
      </rPr>
      <t>)</t>
    </r>
    <r>
      <rPr>
        <sz val="11"/>
        <color indexed="8"/>
        <rFont val="宋体"/>
        <family val="0"/>
      </rPr>
      <t>=</t>
    </r>
  </si>
  <si>
    <r>
      <t>V</t>
    </r>
    <r>
      <rPr>
        <sz val="11"/>
        <color indexed="8"/>
        <rFont val="宋体"/>
        <family val="0"/>
      </rPr>
      <t>pk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P</t>
    </r>
    <r>
      <rPr>
        <sz val="11"/>
        <color indexed="8"/>
        <rFont val="宋体"/>
        <family val="0"/>
      </rPr>
      <t>in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P</t>
    </r>
    <r>
      <rPr>
        <sz val="11"/>
        <color theme="1"/>
        <rFont val="Calibri"/>
        <family val="0"/>
      </rPr>
      <t>ull</t>
    </r>
    <r>
      <rPr>
        <sz val="11"/>
        <color indexed="8"/>
        <rFont val="宋体"/>
        <family val="0"/>
      </rPr>
      <t>-D</t>
    </r>
    <r>
      <rPr>
        <sz val="11"/>
        <color theme="1"/>
        <rFont val="Calibri"/>
        <family val="0"/>
      </rPr>
      <t>own</t>
    </r>
    <r>
      <rPr>
        <sz val="11"/>
        <color indexed="8"/>
        <rFont val="宋体"/>
        <family val="0"/>
      </rPr>
      <t xml:space="preserve"> Resistance</t>
    </r>
    <r>
      <rPr>
        <sz val="11"/>
        <color theme="1"/>
        <rFont val="Calibri"/>
        <family val="0"/>
      </rPr>
      <t xml:space="preserve"> (</t>
    </r>
    <r>
      <rPr>
        <sz val="11"/>
        <color indexed="8"/>
        <rFont val="宋体"/>
        <family val="0"/>
      </rPr>
      <t>R</t>
    </r>
    <r>
      <rPr>
        <sz val="11"/>
        <color indexed="8"/>
        <rFont val="宋体"/>
        <family val="0"/>
      </rPr>
      <t>6+R5</t>
    </r>
    <r>
      <rPr>
        <sz val="11"/>
        <color theme="1"/>
        <rFont val="Calibri"/>
        <family val="0"/>
      </rPr>
      <t>)</t>
    </r>
    <r>
      <rPr>
        <sz val="11"/>
        <color indexed="8"/>
        <rFont val="宋体"/>
        <family val="0"/>
      </rPr>
      <t>=</t>
    </r>
  </si>
  <si>
    <t>Max Voltage on Vpk Pin</t>
  </si>
  <si>
    <t>Max Voltage on Vs Pin</t>
  </si>
  <si>
    <r>
      <t>Vs</t>
    </r>
    <r>
      <rPr>
        <b/>
        <sz val="14"/>
        <color indexed="8"/>
        <rFont val="宋体"/>
        <family val="0"/>
      </rPr>
      <t xml:space="preserve"> Sense Resistor Design</t>
    </r>
  </si>
  <si>
    <r>
      <t>D</t>
    </r>
    <r>
      <rPr>
        <sz val="11"/>
        <color theme="1"/>
        <rFont val="Calibri"/>
        <family val="0"/>
      </rPr>
      <t xml:space="preserve">ivider </t>
    </r>
    <r>
      <rPr>
        <sz val="11"/>
        <color indexed="8"/>
        <rFont val="宋体"/>
        <family val="0"/>
      </rPr>
      <t xml:space="preserve">Proportion </t>
    </r>
    <r>
      <rPr>
        <sz val="11"/>
        <color theme="1"/>
        <rFont val="Calibri"/>
        <family val="0"/>
      </rPr>
      <t>(</t>
    </r>
    <r>
      <rPr>
        <sz val="11"/>
        <color indexed="8"/>
        <rFont val="宋体"/>
        <family val="0"/>
      </rPr>
      <t>Ks</t>
    </r>
    <r>
      <rPr>
        <sz val="11"/>
        <color theme="1"/>
        <rFont val="Calibri"/>
        <family val="0"/>
      </rPr>
      <t>)</t>
    </r>
  </si>
  <si>
    <r>
      <t xml:space="preserve">Resistor between </t>
    </r>
    <r>
      <rPr>
        <sz val="11"/>
        <color indexed="8"/>
        <rFont val="宋体"/>
        <family val="0"/>
      </rPr>
      <t>Vs pin</t>
    </r>
    <r>
      <rPr>
        <sz val="11"/>
        <color theme="1"/>
        <rFont val="Calibri"/>
        <family val="0"/>
      </rPr>
      <t xml:space="preserve"> and GND </t>
    </r>
    <r>
      <rPr>
        <sz val="11"/>
        <color indexed="8"/>
        <rFont val="宋体"/>
        <family val="0"/>
      </rPr>
      <t>R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=</t>
    </r>
  </si>
  <si>
    <r>
      <t xml:space="preserve">Resistor between </t>
    </r>
    <r>
      <rPr>
        <sz val="11"/>
        <color indexed="8"/>
        <rFont val="宋体"/>
        <family val="0"/>
      </rPr>
      <t>Vs pin</t>
    </r>
    <r>
      <rPr>
        <sz val="11"/>
        <color theme="1"/>
        <rFont val="Calibri"/>
        <family val="0"/>
      </rPr>
      <t xml:space="preserve"> and </t>
    </r>
    <r>
      <rPr>
        <sz val="11"/>
        <color indexed="8"/>
        <rFont val="宋体"/>
        <family val="0"/>
      </rPr>
      <t>Vpk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>R</t>
    </r>
    <r>
      <rPr>
        <sz val="11"/>
        <color indexed="8"/>
        <rFont val="宋体"/>
        <family val="0"/>
      </rPr>
      <t>5=</t>
    </r>
  </si>
  <si>
    <t>Line Compensation</t>
  </si>
  <si>
    <r>
      <rPr>
        <sz val="11"/>
        <color indexed="8"/>
        <rFont val="宋体"/>
        <family val="0"/>
      </rPr>
      <t>Turn off System D</t>
    </r>
    <r>
      <rPr>
        <sz val="11"/>
        <color theme="1"/>
        <rFont val="Calibri"/>
        <family val="0"/>
      </rPr>
      <t xml:space="preserve">elay </t>
    </r>
    <r>
      <rPr>
        <sz val="11"/>
        <color indexed="8"/>
        <rFont val="宋体"/>
        <family val="0"/>
      </rPr>
      <t>T</t>
    </r>
    <r>
      <rPr>
        <sz val="11"/>
        <color theme="1"/>
        <rFont val="Calibri"/>
        <family val="0"/>
      </rPr>
      <t>ime</t>
    </r>
    <r>
      <rPr>
        <sz val="11"/>
        <color indexed="8"/>
        <rFont val="宋体"/>
        <family val="0"/>
      </rPr>
      <t>_tdely=</t>
    </r>
  </si>
  <si>
    <r>
      <t>CS Pin</t>
    </r>
    <r>
      <rPr>
        <sz val="11"/>
        <color theme="1"/>
        <rFont val="Calibri"/>
        <family val="0"/>
      </rPr>
      <t xml:space="preserve"> Resistor (</t>
    </r>
    <r>
      <rPr>
        <sz val="11"/>
        <color indexed="8"/>
        <rFont val="宋体"/>
        <family val="0"/>
      </rPr>
      <t>R12</t>
    </r>
    <r>
      <rPr>
        <sz val="11"/>
        <color theme="1"/>
        <rFont val="Calibri"/>
        <family val="0"/>
      </rPr>
      <t>)</t>
    </r>
  </si>
  <si>
    <r>
      <t>Line Compensatin Resistor (</t>
    </r>
    <r>
      <rPr>
        <sz val="11"/>
        <color indexed="8"/>
        <rFont val="宋体"/>
        <family val="0"/>
      </rPr>
      <t>R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>)</t>
    </r>
  </si>
  <si>
    <r>
      <t>S</t>
    </r>
    <r>
      <rPr>
        <sz val="11"/>
        <color theme="1"/>
        <rFont val="Calibri"/>
        <family val="0"/>
      </rPr>
      <t>tart</t>
    </r>
    <r>
      <rPr>
        <sz val="11"/>
        <color indexed="8"/>
        <rFont val="宋体"/>
        <family val="0"/>
      </rPr>
      <t>-U</t>
    </r>
    <r>
      <rPr>
        <sz val="11"/>
        <color theme="1"/>
        <rFont val="Calibri"/>
        <family val="0"/>
      </rPr>
      <t xml:space="preserve">p </t>
    </r>
    <r>
      <rPr>
        <sz val="11"/>
        <color indexed="8"/>
        <rFont val="宋体"/>
        <family val="0"/>
      </rPr>
      <t>T</t>
    </r>
    <r>
      <rPr>
        <sz val="11"/>
        <color theme="1"/>
        <rFont val="Calibri"/>
        <family val="0"/>
      </rPr>
      <t>ime (</t>
    </r>
    <r>
      <rPr>
        <sz val="11"/>
        <color indexed="8"/>
        <rFont val="宋体"/>
        <family val="0"/>
      </rPr>
      <t>Ton_d</t>
    </r>
    <r>
      <rPr>
        <sz val="11"/>
        <color theme="1"/>
        <rFont val="Calibri"/>
        <family val="0"/>
      </rPr>
      <t>)</t>
    </r>
  </si>
  <si>
    <r>
      <t>Start</t>
    </r>
    <r>
      <rPr>
        <sz val="11"/>
        <color indexed="8"/>
        <rFont val="宋体"/>
        <family val="0"/>
      </rPr>
      <t>-Up</t>
    </r>
    <r>
      <rPr>
        <sz val="11"/>
        <color theme="1"/>
        <rFont val="Calibri"/>
        <family val="0"/>
      </rPr>
      <t xml:space="preserve"> Resistor </t>
    </r>
    <r>
      <rPr>
        <sz val="11"/>
        <color indexed="8"/>
        <rFont val="宋体"/>
        <family val="0"/>
      </rPr>
      <t>R</t>
    </r>
    <r>
      <rPr>
        <sz val="11"/>
        <color indexed="8"/>
        <rFont val="宋体"/>
        <family val="0"/>
      </rPr>
      <t>8+R9+R10</t>
    </r>
    <r>
      <rPr>
        <sz val="11"/>
        <color indexed="8"/>
        <rFont val="宋体"/>
        <family val="0"/>
      </rPr>
      <t>=</t>
    </r>
  </si>
  <si>
    <r>
      <t>Power loss</t>
    </r>
    <r>
      <rPr>
        <sz val="11"/>
        <color indexed="8"/>
        <rFont val="宋体"/>
        <family val="0"/>
      </rPr>
      <t>_Pr</t>
    </r>
    <r>
      <rPr>
        <sz val="11"/>
        <color indexed="8"/>
        <rFont val="宋体"/>
        <family val="0"/>
      </rPr>
      <t>st</t>
    </r>
    <r>
      <rPr>
        <sz val="11"/>
        <color indexed="8"/>
        <rFont val="宋体"/>
        <family val="0"/>
      </rPr>
      <t>=</t>
    </r>
  </si>
  <si>
    <r>
      <t xml:space="preserve">Customarize </t>
    </r>
    <r>
      <rPr>
        <sz val="11"/>
        <color indexed="8"/>
        <rFont val="宋体"/>
        <family val="0"/>
      </rPr>
      <t>R</t>
    </r>
    <r>
      <rPr>
        <sz val="11"/>
        <color indexed="8"/>
        <rFont val="宋体"/>
        <family val="0"/>
      </rPr>
      <t>8+R9+R10</t>
    </r>
    <r>
      <rPr>
        <sz val="11"/>
        <color indexed="8"/>
        <rFont val="宋体"/>
        <family val="0"/>
      </rPr>
      <t>=</t>
    </r>
  </si>
  <si>
    <r>
      <t>F</t>
    </r>
    <r>
      <rPr>
        <sz val="11"/>
        <color theme="1"/>
        <rFont val="Calibri"/>
        <family val="0"/>
      </rPr>
      <t xml:space="preserve">or safty issue, Pls use 2Pcs </t>
    </r>
    <r>
      <rPr>
        <sz val="11"/>
        <color indexed="8"/>
        <rFont val="宋体"/>
        <family val="0"/>
      </rPr>
      <t>1MΩ_1206</t>
    </r>
  </si>
  <si>
    <r>
      <t>Resistor Divider R</t>
    </r>
    <r>
      <rPr>
        <sz val="11"/>
        <color theme="1"/>
        <rFont val="Calibri"/>
        <family val="0"/>
      </rPr>
      <t>atio</t>
    </r>
    <r>
      <rPr>
        <sz val="11"/>
        <color indexed="8"/>
        <rFont val="宋体"/>
        <family val="0"/>
      </rPr>
      <t>_Ka=</t>
    </r>
  </si>
  <si>
    <r>
      <t>Pull</t>
    </r>
    <r>
      <rPr>
        <sz val="11"/>
        <color indexed="8"/>
        <rFont val="宋体"/>
        <family val="0"/>
      </rPr>
      <t>-U</t>
    </r>
    <r>
      <rPr>
        <sz val="11"/>
        <color theme="1"/>
        <rFont val="Calibri"/>
        <family val="0"/>
      </rPr>
      <t>p Res</t>
    </r>
    <r>
      <rPr>
        <sz val="11"/>
        <color indexed="8"/>
        <rFont val="宋体"/>
        <family val="0"/>
      </rPr>
      <t xml:space="preserve">istor </t>
    </r>
    <r>
      <rPr>
        <sz val="11"/>
        <color indexed="8"/>
        <rFont val="宋体"/>
        <family val="0"/>
      </rPr>
      <t>R</t>
    </r>
    <r>
      <rPr>
        <sz val="11"/>
        <color indexed="8"/>
        <rFont val="宋体"/>
        <family val="0"/>
      </rPr>
      <t>16</t>
    </r>
    <r>
      <rPr>
        <sz val="11"/>
        <color indexed="8"/>
        <rFont val="宋体"/>
        <family val="0"/>
      </rPr>
      <t>=</t>
    </r>
  </si>
  <si>
    <r>
      <t>Pull</t>
    </r>
    <r>
      <rPr>
        <sz val="11"/>
        <color indexed="8"/>
        <rFont val="宋体"/>
        <family val="0"/>
      </rPr>
      <t>-D</t>
    </r>
    <r>
      <rPr>
        <sz val="11"/>
        <color theme="1"/>
        <rFont val="Calibri"/>
        <family val="0"/>
      </rPr>
      <t>own Res</t>
    </r>
    <r>
      <rPr>
        <sz val="11"/>
        <color indexed="8"/>
        <rFont val="宋体"/>
        <family val="0"/>
      </rPr>
      <t xml:space="preserve">istor </t>
    </r>
    <r>
      <rPr>
        <sz val="11"/>
        <color indexed="8"/>
        <rFont val="宋体"/>
        <family val="0"/>
      </rPr>
      <t>Rl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=</t>
    </r>
  </si>
  <si>
    <r>
      <t xml:space="preserve"> </t>
    </r>
    <r>
      <rPr>
        <sz val="11"/>
        <color indexed="8"/>
        <rFont val="宋体"/>
        <family val="0"/>
      </rPr>
      <t xml:space="preserve">Max Capacitor Voltage </t>
    </r>
    <r>
      <rPr>
        <sz val="11"/>
        <color indexed="8"/>
        <rFont val="宋体"/>
        <family val="0"/>
      </rPr>
      <t>Vout_max</t>
    </r>
  </si>
  <si>
    <r>
      <t>M</t>
    </r>
    <r>
      <rPr>
        <sz val="11"/>
        <color indexed="8"/>
        <rFont val="宋体"/>
        <family val="0"/>
      </rPr>
      <t xml:space="preserve">in Capacitance </t>
    </r>
    <r>
      <rPr>
        <sz val="11"/>
        <color indexed="8"/>
        <rFont val="宋体"/>
        <family val="0"/>
      </rPr>
      <t>Cout_min</t>
    </r>
  </si>
  <si>
    <t xml:space="preserve">Vout Capacitor </t>
  </si>
  <si>
    <r>
      <rPr>
        <sz val="11"/>
        <color indexed="8"/>
        <rFont val="宋体"/>
        <family val="0"/>
      </rPr>
      <t>Auxiliary winding voltage design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Vcc=</t>
    </r>
  </si>
  <si>
    <t>Current density selection</t>
  </si>
  <si>
    <r>
      <t>p</t>
    </r>
    <r>
      <rPr>
        <sz val="11"/>
        <color indexed="8"/>
        <rFont val="宋体"/>
        <family val="0"/>
      </rPr>
      <t>rimary Winding diameter selection</t>
    </r>
  </si>
  <si>
    <t>Secondary Winding diameter selection</t>
  </si>
  <si>
    <r>
      <t xml:space="preserve">Number </t>
    </r>
    <r>
      <rPr>
        <sz val="11"/>
        <color indexed="8"/>
        <rFont val="宋体"/>
        <family val="0"/>
      </rPr>
      <t>strands</t>
    </r>
    <r>
      <rPr>
        <sz val="11"/>
        <color indexed="8"/>
        <rFont val="宋体"/>
        <family val="0"/>
      </rPr>
      <t xml:space="preserve"> of primary winding</t>
    </r>
  </si>
  <si>
    <r>
      <t xml:space="preserve">Number strands of </t>
    </r>
    <r>
      <rPr>
        <sz val="11"/>
        <color indexed="8"/>
        <rFont val="宋体"/>
        <family val="0"/>
      </rPr>
      <t>Secondary</t>
    </r>
    <r>
      <rPr>
        <sz val="11"/>
        <color indexed="8"/>
        <rFont val="宋体"/>
        <family val="0"/>
      </rPr>
      <t xml:space="preserve"> winding</t>
    </r>
  </si>
  <si>
    <t>Step 1: Input Electrical Parameters</t>
  </si>
  <si>
    <t xml:space="preserve">AP1682E (Isolated Flyback Design) Calculator - version 1.6 </t>
  </si>
  <si>
    <r>
      <t>Please fill the electrical parameters(</t>
    </r>
    <r>
      <rPr>
        <sz val="12"/>
        <color indexed="10"/>
        <rFont val="宋体"/>
        <family val="0"/>
      </rPr>
      <t>Red</t>
    </r>
    <r>
      <rPr>
        <sz val="12"/>
        <color indexed="8"/>
        <rFont val="宋体"/>
        <family val="0"/>
      </rPr>
      <t>), this tool will calculate the component values(</t>
    </r>
    <r>
      <rPr>
        <sz val="12"/>
        <color indexed="12"/>
        <rFont val="宋体"/>
        <family val="0"/>
      </rPr>
      <t>Blue</t>
    </r>
    <r>
      <rPr>
        <sz val="12"/>
        <color indexed="8"/>
        <rFont val="宋体"/>
        <family val="0"/>
      </rPr>
      <t>), and system parameters(</t>
    </r>
    <r>
      <rPr>
        <sz val="12"/>
        <color indexed="14"/>
        <rFont val="宋体"/>
        <family val="0"/>
      </rPr>
      <t>Pink</t>
    </r>
    <r>
      <rPr>
        <sz val="12"/>
        <color indexed="8"/>
        <rFont val="宋体"/>
        <family val="0"/>
      </rPr>
      <t>)</t>
    </r>
  </si>
  <si>
    <t>Start-Up Resistor</t>
  </si>
  <si>
    <t>FB Sense Resistor</t>
  </si>
  <si>
    <t>Step 4: Input Maximum Flux Density Bmax, then input Ae according to the selected ferrite core shape</t>
  </si>
  <si>
    <t>Step 3: Input Customarized Inductance (keep the value close to the Calculated Inductance)</t>
  </si>
  <si>
    <t>Step 5: Input Vpk pull up Resistor value</t>
  </si>
  <si>
    <t>Step 6: Input Ton_delay and CS Pin Resistor value</t>
  </si>
  <si>
    <t>Step 7: Input Pull-Up Resistor R16 value</t>
  </si>
  <si>
    <t>Always 1 for Flyback</t>
  </si>
  <si>
    <t>User adjustable</t>
  </si>
  <si>
    <t xml:space="preserve">Step 2: Input Transformer Turns Ratio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</si>
</sst>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_ "/>
    <numFmt numFmtId="178" formatCode="0.000_ "/>
    <numFmt numFmtId="179" formatCode="0.0_ ;[Red]\-0.0\ "/>
    <numFmt numFmtId="180" formatCode="0.0_);[Red]\(0.0\)"/>
    <numFmt numFmtId="181" formatCode="0.0_ "/>
    <numFmt numFmtId="182" formatCode="0.00_ ;[Red]\-0.00\ "/>
    <numFmt numFmtId="183" formatCode="0.000_);[Red]\(0.000\)"/>
    <numFmt numFmtId="184" formatCode="0.00_);[Red]\(0.00\)"/>
    <numFmt numFmtId="185" formatCode="0.0000_ "/>
    <numFmt numFmtId="186" formatCode="0.0"/>
    <numFmt numFmtId="187" formatCode="0.0000"/>
  </numFmts>
  <fonts count="7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2"/>
      <name val="宋体"/>
      <family val="0"/>
    </font>
    <font>
      <sz val="11"/>
      <color indexed="14"/>
      <name val="宋体"/>
      <family val="0"/>
    </font>
    <font>
      <b/>
      <sz val="11"/>
      <color indexed="10"/>
      <name val="宋体"/>
      <family val="0"/>
    </font>
    <font>
      <i/>
      <sz val="11"/>
      <color indexed="8"/>
      <name val="Arial Unicode MS"/>
      <family val="2"/>
    </font>
    <font>
      <b/>
      <sz val="11"/>
      <color indexed="12"/>
      <name val="宋体"/>
      <family val="0"/>
    </font>
    <font>
      <i/>
      <sz val="11"/>
      <color indexed="12"/>
      <name val="Arial Unicode MS"/>
      <family val="2"/>
    </font>
    <font>
      <i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14"/>
      <name val="宋体"/>
      <family val="0"/>
    </font>
    <font>
      <b/>
      <sz val="11"/>
      <color indexed="45"/>
      <name val="宋体"/>
      <family val="0"/>
    </font>
    <font>
      <sz val="11"/>
      <color indexed="8"/>
      <name val="Arial Unicode MS"/>
      <family val="2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name val="新細明體"/>
      <family val="1"/>
    </font>
    <font>
      <sz val="12"/>
      <name val="宋体"/>
      <family val="0"/>
    </font>
    <font>
      <b/>
      <vertAlign val="subscript"/>
      <sz val="10"/>
      <color indexed="8"/>
      <name val="宋体"/>
      <family val="0"/>
    </font>
    <font>
      <b/>
      <vertAlign val="superscript"/>
      <sz val="10"/>
      <color indexed="8"/>
      <name val="宋体"/>
      <family val="0"/>
    </font>
    <font>
      <sz val="10"/>
      <color indexed="8"/>
      <name val="宋体"/>
      <family val="0"/>
    </font>
    <font>
      <sz val="8"/>
      <name val="Arial"/>
      <family val="2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14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u val="single"/>
      <sz val="11"/>
      <color indexed="12"/>
      <name val="宋体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u val="single"/>
      <sz val="2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2"/>
      <name val="Calibri"/>
      <family val="0"/>
    </font>
    <font>
      <b/>
      <sz val="12"/>
      <color indexed="10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F0000"/>
      <name val="宋体"/>
      <family val="0"/>
    </font>
    <font>
      <b/>
      <u val="single"/>
      <sz val="20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</cellStyleXfs>
  <cellXfs count="385">
    <xf numFmtId="0" fontId="0" fillId="0" borderId="0" xfId="0" applyFont="1" applyAlignment="1">
      <alignment vertical="center"/>
    </xf>
    <xf numFmtId="0" fontId="9" fillId="33" borderId="10" xfId="63" applyFont="1" applyFill="1" applyBorder="1" applyAlignment="1">
      <alignment horizontal="left"/>
      <protection/>
    </xf>
    <xf numFmtId="0" fontId="0" fillId="33" borderId="11" xfId="63" applyFill="1" applyBorder="1">
      <alignment vertical="center"/>
      <protection/>
    </xf>
    <xf numFmtId="0" fontId="0" fillId="33" borderId="12" xfId="63" applyFill="1" applyBorder="1">
      <alignment vertical="center"/>
      <protection/>
    </xf>
    <xf numFmtId="0" fontId="0" fillId="33" borderId="13" xfId="63" applyFill="1" applyBorder="1">
      <alignment vertical="center"/>
      <protection/>
    </xf>
    <xf numFmtId="0" fontId="9" fillId="33" borderId="14" xfId="63" applyFont="1" applyFill="1" applyBorder="1" applyAlignment="1">
      <alignment horizontal="left" vertical="center"/>
      <protection/>
    </xf>
    <xf numFmtId="0" fontId="9" fillId="33" borderId="14" xfId="63" applyFont="1" applyFill="1" applyBorder="1">
      <alignment vertical="center"/>
      <protection/>
    </xf>
    <xf numFmtId="0" fontId="9" fillId="33" borderId="15" xfId="63" applyFont="1" applyFill="1" applyBorder="1" applyAlignment="1">
      <alignment horizontal="left" vertical="center"/>
      <protection/>
    </xf>
    <xf numFmtId="176" fontId="8" fillId="33" borderId="16" xfId="63" applyNumberFormat="1" applyFont="1" applyFill="1" applyBorder="1" applyAlignment="1" applyProtection="1">
      <alignment horizontal="center" vertical="center"/>
      <protection hidden="1" locked="0"/>
    </xf>
    <xf numFmtId="0" fontId="9" fillId="34" borderId="16" xfId="63" applyFont="1" applyFill="1" applyBorder="1" applyAlignment="1">
      <alignment horizontal="left"/>
      <protection/>
    </xf>
    <xf numFmtId="0" fontId="9" fillId="34" borderId="14" xfId="63" applyFont="1" applyFill="1" applyBorder="1" applyAlignment="1">
      <alignment horizontal="left" vertical="center"/>
      <protection/>
    </xf>
    <xf numFmtId="0" fontId="0" fillId="35" borderId="13" xfId="63" applyFill="1" applyBorder="1">
      <alignment vertical="center"/>
      <protection/>
    </xf>
    <xf numFmtId="176" fontId="10" fillId="35" borderId="16" xfId="63" applyNumberFormat="1" applyFont="1" applyFill="1" applyBorder="1" applyAlignment="1" applyProtection="1">
      <alignment horizontal="center" vertical="center"/>
      <protection hidden="1"/>
    </xf>
    <xf numFmtId="0" fontId="9" fillId="35" borderId="16" xfId="63" applyFont="1" applyFill="1" applyBorder="1" applyAlignment="1">
      <alignment horizontal="left"/>
      <protection/>
    </xf>
    <xf numFmtId="176" fontId="8" fillId="35" borderId="16" xfId="63" applyNumberFormat="1" applyFont="1" applyFill="1" applyBorder="1" applyAlignment="1" applyProtection="1">
      <alignment horizontal="center" vertical="center"/>
      <protection hidden="1" locked="0"/>
    </xf>
    <xf numFmtId="0" fontId="9" fillId="35" borderId="14" xfId="63" applyFont="1" applyFill="1" applyBorder="1" applyAlignment="1">
      <alignment horizontal="left" vertical="center"/>
      <protection/>
    </xf>
    <xf numFmtId="178" fontId="8" fillId="35" borderId="16" xfId="63" applyNumberFormat="1" applyFont="1" applyFill="1" applyBorder="1" applyAlignment="1" applyProtection="1">
      <alignment horizontal="center" vertical="center"/>
      <protection hidden="1" locked="0"/>
    </xf>
    <xf numFmtId="177" fontId="10" fillId="35" borderId="16" xfId="63" applyNumberFormat="1" applyFont="1" applyFill="1" applyBorder="1" applyAlignment="1" applyProtection="1">
      <alignment horizontal="center" vertical="center"/>
      <protection hidden="1"/>
    </xf>
    <xf numFmtId="0" fontId="0" fillId="35" borderId="17" xfId="63" applyFill="1" applyBorder="1">
      <alignment vertical="center"/>
      <protection/>
    </xf>
    <xf numFmtId="177" fontId="10" fillId="35" borderId="18" xfId="63" applyNumberFormat="1" applyFont="1" applyFill="1" applyBorder="1" applyAlignment="1" applyProtection="1">
      <alignment horizontal="center" vertical="center"/>
      <protection hidden="1"/>
    </xf>
    <xf numFmtId="0" fontId="9" fillId="35" borderId="18" xfId="63" applyFont="1" applyFill="1" applyBorder="1" applyAlignment="1">
      <alignment horizontal="left"/>
      <protection/>
    </xf>
    <xf numFmtId="0" fontId="0" fillId="35" borderId="18" xfId="63" applyFill="1" applyBorder="1">
      <alignment vertical="center"/>
      <protection/>
    </xf>
    <xf numFmtId="176" fontId="10" fillId="35" borderId="18" xfId="63" applyNumberFormat="1" applyFont="1" applyFill="1" applyBorder="1" applyAlignment="1" applyProtection="1">
      <alignment horizontal="center" vertical="center"/>
      <protection hidden="1"/>
    </xf>
    <xf numFmtId="0" fontId="9" fillId="35" borderId="15" xfId="63" applyFont="1" applyFill="1" applyBorder="1" applyAlignment="1">
      <alignment horizontal="left" vertical="center"/>
      <protection/>
    </xf>
    <xf numFmtId="0" fontId="0" fillId="35" borderId="19" xfId="63" applyFill="1" applyBorder="1">
      <alignment vertical="center"/>
      <protection/>
    </xf>
    <xf numFmtId="176" fontId="4" fillId="35" borderId="0" xfId="63" applyNumberFormat="1" applyFont="1" applyFill="1" applyBorder="1" applyAlignment="1" applyProtection="1">
      <alignment horizontal="center" vertical="center"/>
      <protection hidden="1"/>
    </xf>
    <xf numFmtId="0" fontId="9" fillId="35" borderId="0" xfId="63" applyFont="1" applyFill="1" applyBorder="1" applyAlignment="1">
      <alignment horizontal="left"/>
      <protection/>
    </xf>
    <xf numFmtId="0" fontId="0" fillId="35" borderId="0" xfId="63" applyFill="1" applyBorder="1">
      <alignment vertical="center"/>
      <protection/>
    </xf>
    <xf numFmtId="0" fontId="9" fillId="35" borderId="20" xfId="63" applyFont="1" applyFill="1" applyBorder="1" applyAlignment="1">
      <alignment horizontal="left" vertical="center"/>
      <protection/>
    </xf>
    <xf numFmtId="0" fontId="0" fillId="35" borderId="13" xfId="63" applyFill="1" applyBorder="1" applyAlignment="1">
      <alignment horizontal="left" vertical="center"/>
      <protection/>
    </xf>
    <xf numFmtId="176" fontId="8" fillId="35" borderId="18" xfId="63" applyNumberFormat="1" applyFont="1" applyFill="1" applyBorder="1" applyAlignment="1" applyProtection="1">
      <alignment horizontal="center" vertical="center"/>
      <protection hidden="1" locked="0"/>
    </xf>
    <xf numFmtId="0" fontId="9" fillId="35" borderId="15" xfId="63" applyFont="1" applyFill="1" applyBorder="1" applyAlignment="1">
      <alignment horizontal="left"/>
      <protection/>
    </xf>
    <xf numFmtId="176" fontId="10" fillId="33" borderId="16" xfId="63" applyNumberFormat="1" applyFont="1" applyFill="1" applyBorder="1" applyAlignment="1" applyProtection="1">
      <alignment horizontal="center" vertical="center"/>
      <protection hidden="1"/>
    </xf>
    <xf numFmtId="179" fontId="8" fillId="33" borderId="18" xfId="63" applyNumberFormat="1" applyFont="1" applyFill="1" applyBorder="1" applyAlignment="1" applyProtection="1">
      <alignment horizontal="center" vertical="center"/>
      <protection hidden="1" locked="0"/>
    </xf>
    <xf numFmtId="180" fontId="8" fillId="33" borderId="16" xfId="63" applyNumberFormat="1" applyFont="1" applyFill="1" applyBorder="1" applyAlignment="1" applyProtection="1">
      <alignment horizontal="center" vertical="center"/>
      <protection hidden="1" locked="0"/>
    </xf>
    <xf numFmtId="0" fontId="1" fillId="33" borderId="21" xfId="63" applyFont="1" applyFill="1" applyBorder="1">
      <alignment vertical="center"/>
      <protection/>
    </xf>
    <xf numFmtId="0" fontId="1" fillId="33" borderId="17" xfId="63" applyFont="1" applyFill="1" applyBorder="1" applyAlignment="1">
      <alignment horizontal="center" vertical="center"/>
      <protection/>
    </xf>
    <xf numFmtId="0" fontId="1" fillId="34" borderId="13" xfId="63" applyFont="1" applyFill="1" applyBorder="1">
      <alignment vertical="center"/>
      <protection/>
    </xf>
    <xf numFmtId="0" fontId="11" fillId="33" borderId="22" xfId="63" applyFont="1" applyFill="1" applyBorder="1" applyAlignment="1">
      <alignment horizontal="left"/>
      <protection/>
    </xf>
    <xf numFmtId="0" fontId="1" fillId="35" borderId="18" xfId="63" applyFont="1" applyFill="1" applyBorder="1">
      <alignment vertical="center"/>
      <protection/>
    </xf>
    <xf numFmtId="0" fontId="0" fillId="35" borderId="23" xfId="63" applyFill="1" applyBorder="1" applyAlignment="1">
      <alignment horizontal="center" vertical="center"/>
      <protection/>
    </xf>
    <xf numFmtId="0" fontId="4" fillId="35" borderId="24" xfId="63" applyFont="1" applyFill="1" applyBorder="1" applyAlignment="1">
      <alignment horizontal="left" vertical="center"/>
      <protection/>
    </xf>
    <xf numFmtId="0" fontId="4" fillId="35" borderId="25" xfId="63" applyFont="1" applyFill="1" applyBorder="1" applyAlignment="1">
      <alignment horizontal="left" vertical="center"/>
      <protection/>
    </xf>
    <xf numFmtId="0" fontId="4" fillId="35" borderId="26" xfId="63" applyFont="1" applyFill="1" applyBorder="1" applyAlignment="1">
      <alignment horizontal="left" vertical="center"/>
      <protection/>
    </xf>
    <xf numFmtId="0" fontId="4" fillId="35" borderId="27" xfId="63" applyFont="1" applyFill="1" applyBorder="1" applyAlignment="1">
      <alignment horizontal="left" vertical="center"/>
      <protection/>
    </xf>
    <xf numFmtId="0" fontId="4" fillId="35" borderId="28" xfId="63" applyFont="1" applyFill="1" applyBorder="1" applyAlignment="1">
      <alignment horizontal="left" vertical="center"/>
      <protection/>
    </xf>
    <xf numFmtId="0" fontId="4" fillId="35" borderId="29" xfId="63" applyFont="1" applyFill="1" applyBorder="1" applyAlignment="1">
      <alignment horizontal="left" vertical="center"/>
      <protection/>
    </xf>
    <xf numFmtId="0" fontId="4" fillId="34" borderId="12" xfId="63" applyFont="1" applyFill="1" applyBorder="1" applyAlignment="1">
      <alignment horizontal="center" vertical="center"/>
      <protection/>
    </xf>
    <xf numFmtId="0" fontId="0" fillId="35" borderId="30" xfId="63" applyFill="1" applyBorder="1">
      <alignment vertical="center"/>
      <protection/>
    </xf>
    <xf numFmtId="176" fontId="10" fillId="35" borderId="23" xfId="63" applyNumberFormat="1" applyFont="1" applyFill="1" applyBorder="1" applyAlignment="1" applyProtection="1">
      <alignment horizontal="center" vertical="center"/>
      <protection hidden="1"/>
    </xf>
    <xf numFmtId="0" fontId="9" fillId="35" borderId="23" xfId="63" applyFont="1" applyFill="1" applyBorder="1" applyAlignment="1">
      <alignment horizontal="left"/>
      <protection/>
    </xf>
    <xf numFmtId="0" fontId="0" fillId="35" borderId="16" xfId="63" applyFill="1" applyBorder="1" applyAlignment="1">
      <alignment horizontal="center" vertical="center"/>
      <protection/>
    </xf>
    <xf numFmtId="0" fontId="0" fillId="35" borderId="18" xfId="63" applyFill="1" applyBorder="1" applyAlignment="1">
      <alignment horizontal="center" vertical="center"/>
      <protection/>
    </xf>
    <xf numFmtId="0" fontId="0" fillId="35" borderId="15" xfId="63" applyFill="1" applyBorder="1" applyAlignment="1">
      <alignment horizontal="center" vertical="center"/>
      <protection/>
    </xf>
    <xf numFmtId="0" fontId="0" fillId="35" borderId="31" xfId="63" applyFill="1" applyBorder="1" applyAlignment="1">
      <alignment horizontal="center" vertical="center"/>
      <protection/>
    </xf>
    <xf numFmtId="176" fontId="10" fillId="35" borderId="0" xfId="63" applyNumberFormat="1" applyFont="1" applyFill="1" applyBorder="1" applyAlignment="1" applyProtection="1">
      <alignment horizontal="center" vertical="center"/>
      <protection hidden="1"/>
    </xf>
    <xf numFmtId="0" fontId="0" fillId="35" borderId="0" xfId="63" applyFill="1" applyBorder="1" applyAlignment="1">
      <alignment horizontal="center" vertical="center"/>
      <protection/>
    </xf>
    <xf numFmtId="0" fontId="0" fillId="35" borderId="20" xfId="63" applyFill="1" applyBorder="1" applyAlignment="1">
      <alignment horizontal="center" vertical="center"/>
      <protection/>
    </xf>
    <xf numFmtId="0" fontId="12" fillId="35" borderId="23" xfId="63" applyFont="1" applyFill="1" applyBorder="1" applyAlignment="1">
      <alignment horizontal="left"/>
      <protection/>
    </xf>
    <xf numFmtId="0" fontId="0" fillId="35" borderId="32" xfId="63" applyFill="1" applyBorder="1" applyAlignment="1">
      <alignment horizontal="left" vertical="center"/>
      <protection/>
    </xf>
    <xf numFmtId="0" fontId="0" fillId="35" borderId="33" xfId="63" applyFill="1" applyBorder="1" applyAlignment="1">
      <alignment horizontal="left" vertical="center"/>
      <protection/>
    </xf>
    <xf numFmtId="176" fontId="10" fillId="35" borderId="18" xfId="63" applyNumberFormat="1" applyFont="1" applyFill="1" applyBorder="1" applyAlignment="1" applyProtection="1">
      <alignment horizontal="left" vertical="center"/>
      <protection hidden="1"/>
    </xf>
    <xf numFmtId="0" fontId="11" fillId="33" borderId="34" xfId="63" applyFont="1" applyFill="1" applyBorder="1" applyAlignment="1">
      <alignment horizontal="left"/>
      <protection/>
    </xf>
    <xf numFmtId="0" fontId="1" fillId="33" borderId="35" xfId="63" applyFont="1" applyFill="1" applyBorder="1">
      <alignment vertical="center"/>
      <protection/>
    </xf>
    <xf numFmtId="0" fontId="9" fillId="33" borderId="31" xfId="63" applyFont="1" applyFill="1" applyBorder="1" applyAlignment="1">
      <alignment horizontal="left" vertical="center"/>
      <protection/>
    </xf>
    <xf numFmtId="0" fontId="1" fillId="33" borderId="30" xfId="63" applyFont="1" applyFill="1" applyBorder="1" applyAlignment="1">
      <alignment horizontal="left" vertical="center"/>
      <protection/>
    </xf>
    <xf numFmtId="0" fontId="0" fillId="35" borderId="23" xfId="63" applyFill="1" applyBorder="1" applyAlignment="1">
      <alignment horizontal="left" vertical="center"/>
      <protection/>
    </xf>
    <xf numFmtId="0" fontId="0" fillId="35" borderId="31" xfId="63" applyFill="1" applyBorder="1" applyAlignment="1">
      <alignment horizontal="left" vertical="center"/>
      <protection/>
    </xf>
    <xf numFmtId="176" fontId="8" fillId="33" borderId="18" xfId="63" applyNumberFormat="1" applyFont="1" applyFill="1" applyBorder="1" applyAlignment="1" applyProtection="1">
      <alignment horizontal="center" vertical="center"/>
      <protection hidden="1"/>
    </xf>
    <xf numFmtId="177" fontId="8" fillId="35" borderId="16" xfId="63" applyNumberFormat="1" applyFont="1" applyFill="1" applyBorder="1" applyAlignment="1" applyProtection="1">
      <alignment horizontal="center" vertical="center"/>
      <protection hidden="1" locked="0"/>
    </xf>
    <xf numFmtId="181" fontId="8" fillId="35" borderId="18" xfId="63" applyNumberFormat="1" applyFont="1" applyFill="1" applyBorder="1" applyAlignment="1" applyProtection="1">
      <alignment horizontal="center" vertical="center"/>
      <protection hidden="1"/>
    </xf>
    <xf numFmtId="0" fontId="13" fillId="35" borderId="13" xfId="63" applyFont="1" applyFill="1" applyBorder="1">
      <alignment vertical="center"/>
      <protection/>
    </xf>
    <xf numFmtId="0" fontId="8" fillId="35" borderId="13" xfId="63" applyFont="1" applyFill="1" applyBorder="1" applyAlignment="1">
      <alignment horizontal="center" vertical="center"/>
      <protection/>
    </xf>
    <xf numFmtId="182" fontId="8" fillId="33" borderId="23" xfId="63" applyNumberFormat="1" applyFont="1" applyFill="1" applyBorder="1" applyAlignment="1" applyProtection="1">
      <alignment horizontal="center" vertical="center"/>
      <protection hidden="1" locked="0"/>
    </xf>
    <xf numFmtId="0" fontId="0" fillId="33" borderId="23" xfId="63" applyFill="1" applyBorder="1">
      <alignment vertical="center"/>
      <protection/>
    </xf>
    <xf numFmtId="0" fontId="0" fillId="33" borderId="36" xfId="63" applyFill="1" applyBorder="1">
      <alignment vertical="center"/>
      <protection/>
    </xf>
    <xf numFmtId="176" fontId="8" fillId="35" borderId="36" xfId="63" applyNumberFormat="1" applyFont="1" applyFill="1" applyBorder="1" applyAlignment="1" applyProtection="1">
      <alignment horizontal="center" vertical="center"/>
      <protection hidden="1" locked="0"/>
    </xf>
    <xf numFmtId="0" fontId="4" fillId="35" borderId="37" xfId="63" applyFont="1" applyFill="1" applyBorder="1" applyAlignment="1">
      <alignment horizontal="left" vertical="center"/>
      <protection/>
    </xf>
    <xf numFmtId="0" fontId="4" fillId="35" borderId="11" xfId="63" applyFont="1" applyFill="1" applyBorder="1" applyAlignment="1">
      <alignment horizontal="left" vertical="center"/>
      <protection/>
    </xf>
    <xf numFmtId="0" fontId="0" fillId="36" borderId="16" xfId="0" applyFill="1" applyBorder="1" applyAlignment="1">
      <alignment vertical="center"/>
    </xf>
    <xf numFmtId="0" fontId="4" fillId="34" borderId="23" xfId="63" applyFont="1" applyFill="1" applyBorder="1" applyAlignment="1">
      <alignment horizontal="center" vertical="center"/>
      <protection/>
    </xf>
    <xf numFmtId="0" fontId="4" fillId="34" borderId="36" xfId="63" applyFont="1" applyFill="1" applyBorder="1" applyAlignment="1">
      <alignment horizontal="center" vertical="center"/>
      <protection/>
    </xf>
    <xf numFmtId="0" fontId="9" fillId="35" borderId="10" xfId="63" applyFont="1" applyFill="1" applyBorder="1" applyAlignment="1">
      <alignment horizontal="left"/>
      <protection/>
    </xf>
    <xf numFmtId="0" fontId="1" fillId="35" borderId="38" xfId="63" applyFont="1" applyFill="1" applyBorder="1" applyAlignment="1">
      <alignment horizontal="left" vertical="center"/>
      <protection/>
    </xf>
    <xf numFmtId="0" fontId="0" fillId="35" borderId="11" xfId="63" applyFill="1" applyBorder="1">
      <alignment vertical="center"/>
      <protection/>
    </xf>
    <xf numFmtId="0" fontId="4" fillId="35" borderId="32" xfId="63" applyFont="1" applyFill="1" applyBorder="1" applyAlignment="1">
      <alignment horizontal="left" vertical="center"/>
      <protection/>
    </xf>
    <xf numFmtId="0" fontId="4" fillId="35" borderId="23" xfId="63" applyFont="1" applyFill="1" applyBorder="1" applyAlignment="1">
      <alignment horizontal="left" vertical="center"/>
      <protection/>
    </xf>
    <xf numFmtId="178" fontId="14" fillId="34" borderId="18" xfId="63" applyNumberFormat="1" applyFont="1" applyFill="1" applyBorder="1" applyAlignment="1" applyProtection="1">
      <alignment horizontal="center" vertical="center"/>
      <protection hidden="1"/>
    </xf>
    <xf numFmtId="176" fontId="8" fillId="35" borderId="16" xfId="63" applyNumberFormat="1" applyFont="1" applyFill="1" applyBorder="1" applyAlignment="1" applyProtection="1">
      <alignment horizontal="center" vertical="center"/>
      <protection hidden="1"/>
    </xf>
    <xf numFmtId="177" fontId="15" fillId="35" borderId="23" xfId="63" applyNumberFormat="1" applyFont="1" applyFill="1" applyBorder="1" applyAlignment="1" applyProtection="1">
      <alignment horizontal="center" vertical="center"/>
      <protection hidden="1"/>
    </xf>
    <xf numFmtId="0" fontId="16" fillId="35" borderId="10" xfId="63" applyFont="1" applyFill="1" applyBorder="1" applyAlignment="1">
      <alignment horizontal="left"/>
      <protection/>
    </xf>
    <xf numFmtId="0" fontId="4" fillId="35" borderId="10" xfId="63" applyFont="1" applyFill="1" applyBorder="1" applyAlignment="1">
      <alignment horizontal="left" vertical="center"/>
      <protection/>
    </xf>
    <xf numFmtId="0" fontId="1" fillId="34" borderId="17" xfId="63" applyFont="1" applyFill="1" applyBorder="1">
      <alignment vertical="center"/>
      <protection/>
    </xf>
    <xf numFmtId="0" fontId="0" fillId="36" borderId="16" xfId="0" applyFont="1" applyFill="1" applyBorder="1" applyAlignment="1">
      <alignment vertical="center"/>
    </xf>
    <xf numFmtId="0" fontId="1" fillId="35" borderId="39" xfId="63" applyFont="1" applyFill="1" applyBorder="1" applyAlignment="1">
      <alignment horizontal="left" vertical="center"/>
      <protection/>
    </xf>
    <xf numFmtId="0" fontId="1" fillId="35" borderId="13" xfId="63" applyFont="1" applyFill="1" applyBorder="1">
      <alignment vertical="center"/>
      <protection/>
    </xf>
    <xf numFmtId="176" fontId="10" fillId="35" borderId="16" xfId="63" applyNumberFormat="1" applyFont="1" applyFill="1" applyBorder="1" applyAlignment="1" applyProtection="1">
      <alignment horizontal="center" vertical="center"/>
      <protection hidden="1"/>
    </xf>
    <xf numFmtId="0" fontId="1" fillId="35" borderId="16" xfId="63" applyFont="1" applyFill="1" applyBorder="1" applyAlignment="1">
      <alignment horizontal="center" vertical="center"/>
      <protection/>
    </xf>
    <xf numFmtId="0" fontId="1" fillId="35" borderId="18" xfId="63" applyFont="1" applyFill="1" applyBorder="1" applyAlignment="1">
      <alignment horizontal="center" vertical="center"/>
      <protection/>
    </xf>
    <xf numFmtId="177" fontId="8" fillId="35" borderId="16" xfId="63" applyNumberFormat="1" applyFont="1" applyFill="1" applyBorder="1" applyAlignment="1" applyProtection="1">
      <alignment horizontal="center" vertical="center"/>
      <protection hidden="1"/>
    </xf>
    <xf numFmtId="0" fontId="1" fillId="35" borderId="17" xfId="63" applyFont="1" applyFill="1" applyBorder="1">
      <alignment vertical="center"/>
      <protection/>
    </xf>
    <xf numFmtId="0" fontId="1" fillId="35" borderId="34" xfId="63" applyFont="1" applyFill="1" applyBorder="1" applyAlignment="1">
      <alignment horizontal="left" vertical="center"/>
      <protection/>
    </xf>
    <xf numFmtId="0" fontId="1" fillId="35" borderId="11" xfId="63" applyFont="1" applyFill="1" applyBorder="1">
      <alignment vertical="center"/>
      <protection/>
    </xf>
    <xf numFmtId="0" fontId="1" fillId="35" borderId="16" xfId="63" applyFont="1" applyFill="1" applyBorder="1">
      <alignment vertical="center"/>
      <protection/>
    </xf>
    <xf numFmtId="0" fontId="1" fillId="35" borderId="30" xfId="63" applyFont="1" applyFill="1" applyBorder="1">
      <alignment vertical="center"/>
      <protection/>
    </xf>
    <xf numFmtId="176" fontId="14" fillId="35" borderId="16" xfId="63" applyNumberFormat="1" applyFont="1" applyFill="1" applyBorder="1" applyAlignment="1" applyProtection="1">
      <alignment horizontal="center" vertical="center"/>
      <protection hidden="1"/>
    </xf>
    <xf numFmtId="0" fontId="14" fillId="35" borderId="16" xfId="63" applyNumberFormat="1" applyFont="1" applyFill="1" applyBorder="1" applyAlignment="1" applyProtection="1">
      <alignment horizontal="center" vertical="center"/>
      <protection hidden="1"/>
    </xf>
    <xf numFmtId="176" fontId="14" fillId="34" borderId="16" xfId="63" applyNumberFormat="1" applyFont="1" applyFill="1" applyBorder="1" applyAlignment="1" applyProtection="1">
      <alignment horizontal="center" vertical="center"/>
      <protection hidden="1"/>
    </xf>
    <xf numFmtId="176" fontId="14" fillId="34" borderId="18" xfId="63" applyNumberFormat="1" applyFont="1" applyFill="1" applyBorder="1" applyAlignment="1" applyProtection="1">
      <alignment horizontal="center" vertical="center"/>
      <protection hidden="1"/>
    </xf>
    <xf numFmtId="178" fontId="14" fillId="34" borderId="16" xfId="63" applyNumberFormat="1" applyFont="1" applyFill="1" applyBorder="1" applyAlignment="1" applyProtection="1">
      <alignment horizontal="center" vertical="center"/>
      <protection hidden="1"/>
    </xf>
    <xf numFmtId="184" fontId="14" fillId="36" borderId="16" xfId="63" applyNumberFormat="1" applyFont="1" applyFill="1" applyBorder="1" applyAlignment="1" applyProtection="1">
      <alignment horizontal="center" vertical="center"/>
      <protection hidden="1" locked="0"/>
    </xf>
    <xf numFmtId="183" fontId="14" fillId="36" borderId="16" xfId="63" applyNumberFormat="1" applyFont="1" applyFill="1" applyBorder="1" applyAlignment="1" applyProtection="1">
      <alignment horizontal="center" vertical="center"/>
      <protection hidden="1" locked="0"/>
    </xf>
    <xf numFmtId="0" fontId="2" fillId="36" borderId="37" xfId="63" applyFont="1" applyFill="1" applyBorder="1" applyAlignment="1">
      <alignment vertical="center"/>
      <protection/>
    </xf>
    <xf numFmtId="9" fontId="8" fillId="36" borderId="16" xfId="63" applyNumberFormat="1" applyFont="1" applyFill="1" applyBorder="1" applyAlignment="1" applyProtection="1">
      <alignment horizontal="center" vertical="center"/>
      <protection hidden="1"/>
    </xf>
    <xf numFmtId="0" fontId="2" fillId="36" borderId="10" xfId="63" applyFont="1" applyFill="1" applyBorder="1" applyAlignment="1">
      <alignment vertical="center"/>
      <protection/>
    </xf>
    <xf numFmtId="0" fontId="18" fillId="36" borderId="10" xfId="63" applyFont="1" applyFill="1" applyBorder="1" applyAlignment="1">
      <alignment vertical="center"/>
      <protection/>
    </xf>
    <xf numFmtId="176" fontId="2" fillId="36" borderId="10" xfId="63" applyNumberFormat="1" applyFont="1" applyFill="1" applyBorder="1" applyAlignment="1">
      <alignment vertical="center"/>
      <protection/>
    </xf>
    <xf numFmtId="0" fontId="0" fillId="36" borderId="16" xfId="0" applyFill="1" applyBorder="1" applyAlignment="1">
      <alignment vertical="center"/>
    </xf>
    <xf numFmtId="0" fontId="1" fillId="36" borderId="16" xfId="0" applyFont="1" applyFill="1" applyBorder="1" applyAlignment="1">
      <alignment vertical="center"/>
    </xf>
    <xf numFmtId="0" fontId="1" fillId="33" borderId="13" xfId="63" applyFont="1" applyFill="1" applyBorder="1">
      <alignment vertical="center"/>
      <protection/>
    </xf>
    <xf numFmtId="0" fontId="2" fillId="36" borderId="16" xfId="63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178" fontId="14" fillId="36" borderId="16" xfId="63" applyNumberFormat="1" applyFont="1" applyFill="1" applyBorder="1" applyAlignment="1" applyProtection="1">
      <alignment horizontal="center" vertical="center"/>
      <protection hidden="1"/>
    </xf>
    <xf numFmtId="176" fontId="14" fillId="36" borderId="10" xfId="63" applyNumberFormat="1" applyFont="1" applyFill="1" applyBorder="1" applyAlignment="1">
      <alignment horizontal="center" vertical="center"/>
      <protection/>
    </xf>
    <xf numFmtId="176" fontId="8" fillId="36" borderId="10" xfId="63" applyNumberFormat="1" applyFont="1" applyFill="1" applyBorder="1" applyAlignment="1">
      <alignment horizontal="center" vertical="center"/>
      <protection/>
    </xf>
    <xf numFmtId="178" fontId="14" fillId="35" borderId="16" xfId="63" applyNumberFormat="1" applyFont="1" applyFill="1" applyBorder="1" applyAlignment="1" applyProtection="1">
      <alignment horizontal="center" vertical="center"/>
      <protection hidden="1"/>
    </xf>
    <xf numFmtId="177" fontId="10" fillId="35" borderId="23" xfId="63" applyNumberFormat="1" applyFont="1" applyFill="1" applyBorder="1" applyAlignment="1" applyProtection="1">
      <alignment horizontal="center" vertical="center"/>
      <protection hidden="1"/>
    </xf>
    <xf numFmtId="0" fontId="9" fillId="35" borderId="34" xfId="63" applyFont="1" applyFill="1" applyBorder="1" applyAlignment="1">
      <alignment horizontal="left"/>
      <protection/>
    </xf>
    <xf numFmtId="0" fontId="1" fillId="35" borderId="35" xfId="63" applyFont="1" applyFill="1" applyBorder="1">
      <alignment vertical="center"/>
      <protection/>
    </xf>
    <xf numFmtId="178" fontId="14" fillId="35" borderId="23" xfId="63" applyNumberFormat="1" applyFont="1" applyFill="1" applyBorder="1" applyAlignment="1" applyProtection="1">
      <alignment horizontal="center" vertical="center"/>
      <protection hidden="1"/>
    </xf>
    <xf numFmtId="0" fontId="9" fillId="35" borderId="31" xfId="63" applyFont="1" applyFill="1" applyBorder="1" applyAlignment="1">
      <alignment horizontal="left" vertical="center"/>
      <protection/>
    </xf>
    <xf numFmtId="181" fontId="14" fillId="35" borderId="18" xfId="63" applyNumberFormat="1" applyFont="1" applyFill="1" applyBorder="1" applyAlignment="1">
      <alignment horizontal="center" vertical="center"/>
      <protection/>
    </xf>
    <xf numFmtId="0" fontId="9" fillId="34" borderId="10" xfId="63" applyFont="1" applyFill="1" applyBorder="1" applyAlignment="1">
      <alignment horizontal="left"/>
      <protection/>
    </xf>
    <xf numFmtId="0" fontId="9" fillId="34" borderId="22" xfId="63" applyFont="1" applyFill="1" applyBorder="1" applyAlignment="1">
      <alignment horizontal="left"/>
      <protection/>
    </xf>
    <xf numFmtId="0" fontId="0" fillId="34" borderId="11" xfId="63" applyFill="1" applyBorder="1">
      <alignment vertical="center"/>
      <protection/>
    </xf>
    <xf numFmtId="0" fontId="1" fillId="34" borderId="11" xfId="63" applyFont="1" applyFill="1" applyBorder="1">
      <alignment vertical="center"/>
      <protection/>
    </xf>
    <xf numFmtId="176" fontId="8" fillId="33" borderId="23" xfId="63" applyNumberFormat="1" applyFont="1" applyFill="1" applyBorder="1" applyAlignment="1" applyProtection="1">
      <alignment horizontal="center" vertical="center"/>
      <protection hidden="1"/>
    </xf>
    <xf numFmtId="176" fontId="19" fillId="36" borderId="16" xfId="63" applyNumberFormat="1" applyFont="1" applyFill="1" applyBorder="1" applyAlignment="1" applyProtection="1">
      <alignment horizontal="center" vertical="center"/>
      <protection hidden="1"/>
    </xf>
    <xf numFmtId="0" fontId="20" fillId="0" borderId="0" xfId="62" applyFont="1" applyFill="1" applyAlignment="1">
      <alignment horizontal="centerContinuous"/>
      <protection/>
    </xf>
    <xf numFmtId="186" fontId="20" fillId="0" borderId="0" xfId="62" applyNumberFormat="1" applyFont="1" applyFill="1" applyAlignment="1">
      <alignment horizontal="centerContinuous"/>
      <protection/>
    </xf>
    <xf numFmtId="0" fontId="22" fillId="0" borderId="0" xfId="64">
      <alignment/>
      <protection/>
    </xf>
    <xf numFmtId="0" fontId="20" fillId="0" borderId="23" xfId="62" applyFont="1" applyFill="1" applyBorder="1" applyAlignment="1">
      <alignment horizontal="center" vertical="center"/>
      <protection/>
    </xf>
    <xf numFmtId="0" fontId="20" fillId="0" borderId="23" xfId="62" applyFont="1" applyFill="1" applyBorder="1" applyAlignment="1">
      <alignment horizontal="center" vertical="center" wrapText="1"/>
      <protection/>
    </xf>
    <xf numFmtId="186" fontId="20" fillId="0" borderId="23" xfId="62" applyNumberFormat="1" applyFont="1" applyFill="1" applyBorder="1" applyAlignment="1">
      <alignment horizontal="center" vertical="center" wrapText="1"/>
      <protection/>
    </xf>
    <xf numFmtId="0" fontId="20" fillId="0" borderId="12" xfId="62" applyFont="1" applyFill="1" applyBorder="1" applyAlignment="1">
      <alignment/>
      <protection/>
    </xf>
    <xf numFmtId="0" fontId="20" fillId="0" borderId="12" xfId="62" applyFont="1" applyFill="1" applyBorder="1" applyAlignment="1">
      <alignment horizontal="center"/>
      <protection/>
    </xf>
    <xf numFmtId="0" fontId="20" fillId="0" borderId="12" xfId="62" applyFont="1" applyFill="1" applyBorder="1" applyAlignment="1">
      <alignment horizontal="center" vertical="center"/>
      <protection/>
    </xf>
    <xf numFmtId="186" fontId="20" fillId="0" borderId="12" xfId="62" applyNumberFormat="1" applyFont="1" applyFill="1" applyBorder="1" applyAlignment="1">
      <alignment horizontal="center" vertical="center"/>
      <protection/>
    </xf>
    <xf numFmtId="0" fontId="20" fillId="0" borderId="40" xfId="62" applyFont="1" applyFill="1" applyBorder="1" applyAlignment="1">
      <alignment horizontal="center" vertical="center"/>
      <protection/>
    </xf>
    <xf numFmtId="0" fontId="20" fillId="0" borderId="10" xfId="62" applyFont="1" applyFill="1" applyBorder="1" applyAlignment="1">
      <alignment horizontal="center" vertical="center"/>
      <protection/>
    </xf>
    <xf numFmtId="0" fontId="20" fillId="0" borderId="37" xfId="62" applyFont="1" applyFill="1" applyBorder="1" applyAlignment="1">
      <alignment horizontal="left" vertical="center"/>
      <protection/>
    </xf>
    <xf numFmtId="0" fontId="20" fillId="0" borderId="37" xfId="62" applyFont="1" applyFill="1" applyBorder="1" applyAlignment="1">
      <alignment horizontal="center" vertical="center"/>
      <protection/>
    </xf>
    <xf numFmtId="0" fontId="20" fillId="0" borderId="11" xfId="62" applyFont="1" applyFill="1" applyBorder="1" applyAlignment="1">
      <alignment horizontal="center" vertical="center"/>
      <protection/>
    </xf>
    <xf numFmtId="0" fontId="20" fillId="0" borderId="10" xfId="62" applyFont="1" applyFill="1" applyBorder="1" applyAlignment="1">
      <alignment/>
      <protection/>
    </xf>
    <xf numFmtId="0" fontId="20" fillId="0" borderId="37" xfId="62" applyFont="1" applyFill="1" applyBorder="1" applyAlignment="1">
      <alignment/>
      <protection/>
    </xf>
    <xf numFmtId="0" fontId="20" fillId="0" borderId="37" xfId="62" applyFont="1" applyFill="1" applyBorder="1" applyAlignment="1">
      <alignment horizontal="center"/>
      <protection/>
    </xf>
    <xf numFmtId="186" fontId="20" fillId="0" borderId="37" xfId="62" applyNumberFormat="1" applyFont="1" applyFill="1" applyBorder="1" applyAlignment="1">
      <alignment horizontal="center" vertical="center"/>
      <protection/>
    </xf>
    <xf numFmtId="0" fontId="20" fillId="0" borderId="41" xfId="62" applyFont="1" applyFill="1" applyBorder="1" applyAlignment="1">
      <alignment horizontal="center" vertical="center"/>
      <protection/>
    </xf>
    <xf numFmtId="0" fontId="20" fillId="0" borderId="38" xfId="62" applyFont="1" applyFill="1" applyBorder="1" applyAlignment="1">
      <alignment horizontal="center" vertical="center"/>
      <protection/>
    </xf>
    <xf numFmtId="0" fontId="25" fillId="0" borderId="36" xfId="62" applyFont="1" applyFill="1" applyBorder="1" applyAlignment="1">
      <alignment/>
      <protection/>
    </xf>
    <xf numFmtId="187" fontId="25" fillId="0" borderId="36" xfId="62" applyNumberFormat="1" applyFont="1" applyFill="1" applyBorder="1" applyAlignment="1">
      <alignment horizontal="left"/>
      <protection/>
    </xf>
    <xf numFmtId="2" fontId="25" fillId="0" borderId="36" xfId="62" applyNumberFormat="1" applyFont="1" applyFill="1" applyBorder="1" applyAlignment="1">
      <alignment horizontal="left"/>
      <protection/>
    </xf>
    <xf numFmtId="186" fontId="25" fillId="0" borderId="36" xfId="62" applyNumberFormat="1" applyFont="1" applyFill="1" applyBorder="1" applyAlignment="1">
      <alignment horizontal="left"/>
      <protection/>
    </xf>
    <xf numFmtId="0" fontId="25" fillId="0" borderId="36" xfId="62" applyFont="1" applyFill="1" applyBorder="1" applyAlignment="1">
      <alignment horizontal="center"/>
      <protection/>
    </xf>
    <xf numFmtId="0" fontId="25" fillId="0" borderId="16" xfId="62" applyFont="1" applyFill="1" applyBorder="1" applyAlignment="1">
      <alignment/>
      <protection/>
    </xf>
    <xf numFmtId="187" fontId="25" fillId="0" borderId="16" xfId="62" applyNumberFormat="1" applyFont="1" applyFill="1" applyBorder="1" applyAlignment="1">
      <alignment horizontal="left"/>
      <protection/>
    </xf>
    <xf numFmtId="2" fontId="25" fillId="0" borderId="16" xfId="62" applyNumberFormat="1" applyFont="1" applyFill="1" applyBorder="1" applyAlignment="1">
      <alignment horizontal="left"/>
      <protection/>
    </xf>
    <xf numFmtId="186" fontId="25" fillId="0" borderId="16" xfId="62" applyNumberFormat="1" applyFont="1" applyFill="1" applyBorder="1" applyAlignment="1">
      <alignment horizontal="left"/>
      <protection/>
    </xf>
    <xf numFmtId="0" fontId="25" fillId="0" borderId="16" xfId="62" applyFont="1" applyFill="1" applyBorder="1" applyAlignment="1">
      <alignment horizontal="center"/>
      <protection/>
    </xf>
    <xf numFmtId="0" fontId="25" fillId="0" borderId="23" xfId="62" applyFont="1" applyFill="1" applyBorder="1" applyAlignment="1">
      <alignment/>
      <protection/>
    </xf>
    <xf numFmtId="187" fontId="25" fillId="0" borderId="23" xfId="62" applyNumberFormat="1" applyFont="1" applyFill="1" applyBorder="1" applyAlignment="1">
      <alignment horizontal="left"/>
      <protection/>
    </xf>
    <xf numFmtId="2" fontId="25" fillId="0" borderId="23" xfId="62" applyNumberFormat="1" applyFont="1" applyFill="1" applyBorder="1" applyAlignment="1">
      <alignment horizontal="left"/>
      <protection/>
    </xf>
    <xf numFmtId="186" fontId="25" fillId="0" borderId="23" xfId="62" applyNumberFormat="1" applyFont="1" applyFill="1" applyBorder="1" applyAlignment="1">
      <alignment horizontal="left"/>
      <protection/>
    </xf>
    <xf numFmtId="0" fontId="25" fillId="0" borderId="23" xfId="62" applyFont="1" applyFill="1" applyBorder="1" applyAlignment="1">
      <alignment horizontal="center"/>
      <protection/>
    </xf>
    <xf numFmtId="0" fontId="25" fillId="0" borderId="37" xfId="62" applyFont="1" applyFill="1" applyBorder="1" applyAlignment="1">
      <alignment/>
      <protection/>
    </xf>
    <xf numFmtId="187" fontId="25" fillId="0" borderId="37" xfId="62" applyNumberFormat="1" applyFont="1" applyFill="1" applyBorder="1" applyAlignment="1">
      <alignment horizontal="left"/>
      <protection/>
    </xf>
    <xf numFmtId="2" fontId="25" fillId="0" borderId="37" xfId="62" applyNumberFormat="1" applyFont="1" applyFill="1" applyBorder="1" applyAlignment="1">
      <alignment horizontal="left"/>
      <protection/>
    </xf>
    <xf numFmtId="186" fontId="25" fillId="0" borderId="37" xfId="62" applyNumberFormat="1" applyFont="1" applyFill="1" applyBorder="1" applyAlignment="1">
      <alignment horizontal="left"/>
      <protection/>
    </xf>
    <xf numFmtId="0" fontId="25" fillId="0" borderId="37" xfId="62" applyFont="1" applyFill="1" applyBorder="1" applyAlignment="1">
      <alignment horizontal="center"/>
      <protection/>
    </xf>
    <xf numFmtId="0" fontId="25" fillId="0" borderId="11" xfId="62" applyFont="1" applyFill="1" applyBorder="1" applyAlignment="1">
      <alignment/>
      <protection/>
    </xf>
    <xf numFmtId="0" fontId="25" fillId="0" borderId="36" xfId="62" applyFont="1" applyFill="1" applyBorder="1" applyAlignment="1" quotePrefix="1">
      <alignment horizontal="center"/>
      <protection/>
    </xf>
    <xf numFmtId="0" fontId="25" fillId="0" borderId="16" xfId="62" applyFont="1" applyFill="1" applyBorder="1" applyAlignment="1" quotePrefix="1">
      <alignment horizontal="center"/>
      <protection/>
    </xf>
    <xf numFmtId="14" fontId="25" fillId="0" borderId="16" xfId="62" applyNumberFormat="1" applyFont="1" applyFill="1" applyBorder="1" applyAlignment="1" quotePrefix="1">
      <alignment horizontal="center"/>
      <protection/>
    </xf>
    <xf numFmtId="0" fontId="25" fillId="0" borderId="12" xfId="62" applyFont="1" applyFill="1" applyBorder="1" applyAlignment="1">
      <alignment/>
      <protection/>
    </xf>
    <xf numFmtId="187" fontId="25" fillId="0" borderId="12" xfId="62" applyNumberFormat="1" applyFont="1" applyFill="1" applyBorder="1" applyAlignment="1">
      <alignment horizontal="left"/>
      <protection/>
    </xf>
    <xf numFmtId="2" fontId="25" fillId="0" borderId="12" xfId="62" applyNumberFormat="1" applyFont="1" applyFill="1" applyBorder="1" applyAlignment="1">
      <alignment horizontal="left"/>
      <protection/>
    </xf>
    <xf numFmtId="186" fontId="25" fillId="0" borderId="12" xfId="62" applyNumberFormat="1" applyFont="1" applyFill="1" applyBorder="1" applyAlignment="1">
      <alignment horizontal="left"/>
      <protection/>
    </xf>
    <xf numFmtId="0" fontId="25" fillId="0" borderId="12" xfId="62" applyFont="1" applyFill="1" applyBorder="1" applyAlignment="1">
      <alignment horizontal="center"/>
      <protection/>
    </xf>
    <xf numFmtId="186" fontId="25" fillId="0" borderId="36" xfId="62" applyNumberFormat="1" applyFont="1" applyFill="1" applyBorder="1" applyAlignment="1">
      <alignment horizontal="center"/>
      <protection/>
    </xf>
    <xf numFmtId="186" fontId="22" fillId="0" borderId="0" xfId="64" applyNumberFormat="1">
      <alignment/>
      <protection/>
    </xf>
    <xf numFmtId="0" fontId="0" fillId="35" borderId="21" xfId="63" applyFont="1" applyFill="1" applyBorder="1">
      <alignment vertical="center"/>
      <protection/>
    </xf>
    <xf numFmtId="0" fontId="0" fillId="35" borderId="12" xfId="63" applyFill="1" applyBorder="1" applyAlignment="1">
      <alignment horizontal="center" vertical="center"/>
      <protection/>
    </xf>
    <xf numFmtId="0" fontId="0" fillId="35" borderId="36" xfId="63" applyFill="1" applyBorder="1" applyAlignment="1">
      <alignment horizontal="center" vertical="center"/>
      <protection/>
    </xf>
    <xf numFmtId="0" fontId="9" fillId="35" borderId="39" xfId="63" applyFont="1" applyFill="1" applyBorder="1" applyAlignment="1">
      <alignment horizontal="left" vertical="center"/>
      <protection/>
    </xf>
    <xf numFmtId="0" fontId="9" fillId="35" borderId="16" xfId="63" applyFont="1" applyFill="1" applyBorder="1" applyAlignment="1">
      <alignment horizontal="left" vertical="center"/>
      <protection/>
    </xf>
    <xf numFmtId="0" fontId="0" fillId="35" borderId="16" xfId="63" applyFont="1" applyFill="1" applyBorder="1">
      <alignment vertical="center"/>
      <protection/>
    </xf>
    <xf numFmtId="0" fontId="0" fillId="35" borderId="35" xfId="63" applyFont="1" applyFill="1" applyBorder="1">
      <alignment vertical="center"/>
      <protection/>
    </xf>
    <xf numFmtId="0" fontId="0" fillId="35" borderId="11" xfId="63" applyFont="1" applyFill="1" applyBorder="1">
      <alignment vertical="center"/>
      <protection/>
    </xf>
    <xf numFmtId="176" fontId="10" fillId="35" borderId="16" xfId="63" applyNumberFormat="1" applyFont="1" applyFill="1" applyBorder="1" applyAlignment="1" applyProtection="1">
      <alignment horizontal="center" vertical="center"/>
      <protection hidden="1"/>
    </xf>
    <xf numFmtId="176" fontId="73" fillId="35" borderId="16" xfId="63" applyNumberFormat="1" applyFont="1" applyFill="1" applyBorder="1" applyAlignment="1" applyProtection="1">
      <alignment horizontal="center" vertical="center"/>
      <protection hidden="1"/>
    </xf>
    <xf numFmtId="0" fontId="1" fillId="36" borderId="16" xfId="0" applyFont="1" applyFill="1" applyBorder="1" applyAlignment="1">
      <alignment vertical="center"/>
    </xf>
    <xf numFmtId="0" fontId="18" fillId="36" borderId="10" xfId="6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80" fontId="8" fillId="33" borderId="16" xfId="63" applyNumberFormat="1" applyFont="1" applyFill="1" applyBorder="1" applyAlignment="1" applyProtection="1">
      <alignment horizontal="center" vertical="center"/>
      <protection locked="0"/>
    </xf>
    <xf numFmtId="182" fontId="8" fillId="33" borderId="23" xfId="63" applyNumberFormat="1" applyFont="1" applyFill="1" applyBorder="1" applyAlignment="1" applyProtection="1">
      <alignment horizontal="center" vertical="center"/>
      <protection locked="0"/>
    </xf>
    <xf numFmtId="176" fontId="8" fillId="33" borderId="16" xfId="63" applyNumberFormat="1" applyFont="1" applyFill="1" applyBorder="1" applyAlignment="1" applyProtection="1">
      <alignment horizontal="center" vertical="center"/>
      <protection locked="0"/>
    </xf>
    <xf numFmtId="176" fontId="8" fillId="33" borderId="23" xfId="63" applyNumberFormat="1" applyFont="1" applyFill="1" applyBorder="1" applyAlignment="1" applyProtection="1">
      <alignment horizontal="center" vertical="center"/>
      <protection locked="0"/>
    </xf>
    <xf numFmtId="176" fontId="8" fillId="33" borderId="18" xfId="63" applyNumberFormat="1" applyFont="1" applyFill="1" applyBorder="1" applyAlignment="1" applyProtection="1">
      <alignment horizontal="center" vertical="center"/>
      <protection locked="0"/>
    </xf>
    <xf numFmtId="9" fontId="8" fillId="36" borderId="16" xfId="63" applyNumberFormat="1" applyFont="1" applyFill="1" applyBorder="1" applyAlignment="1" applyProtection="1">
      <alignment horizontal="center" vertical="center"/>
      <protection locked="0"/>
    </xf>
    <xf numFmtId="176" fontId="19" fillId="36" borderId="16" xfId="63" applyNumberFormat="1" applyFont="1" applyFill="1" applyBorder="1" applyAlignment="1" applyProtection="1">
      <alignment horizontal="center" vertical="center"/>
      <protection locked="0"/>
    </xf>
    <xf numFmtId="183" fontId="14" fillId="36" borderId="16" xfId="63" applyNumberFormat="1" applyFont="1" applyFill="1" applyBorder="1" applyAlignment="1" applyProtection="1">
      <alignment horizontal="center" vertical="center"/>
      <protection hidden="1"/>
    </xf>
    <xf numFmtId="0" fontId="1" fillId="34" borderId="13" xfId="63" applyFont="1" applyFill="1" applyBorder="1" applyProtection="1">
      <alignment vertical="center"/>
      <protection hidden="1"/>
    </xf>
    <xf numFmtId="0" fontId="1" fillId="34" borderId="17" xfId="63" applyFont="1" applyFill="1" applyBorder="1" applyProtection="1">
      <alignment vertical="center"/>
      <protection hidden="1"/>
    </xf>
    <xf numFmtId="0" fontId="1" fillId="34" borderId="16" xfId="63" applyFont="1" applyFill="1" applyBorder="1" applyProtection="1">
      <alignment vertical="center"/>
      <protection hidden="1"/>
    </xf>
    <xf numFmtId="0" fontId="0" fillId="34" borderId="13" xfId="63" applyFont="1" applyFill="1" applyBorder="1" applyProtection="1">
      <alignment vertical="center"/>
      <protection hidden="1"/>
    </xf>
    <xf numFmtId="0" fontId="27" fillId="35" borderId="27" xfId="63" applyFont="1" applyFill="1" applyBorder="1" applyAlignment="1" applyProtection="1">
      <alignment horizontal="left" vertical="center"/>
      <protection hidden="1"/>
    </xf>
    <xf numFmtId="0" fontId="4" fillId="35" borderId="28" xfId="63" applyFont="1" applyFill="1" applyBorder="1" applyAlignment="1" applyProtection="1">
      <alignment horizontal="left" vertical="center"/>
      <protection hidden="1"/>
    </xf>
    <xf numFmtId="0" fontId="1" fillId="35" borderId="30" xfId="63" applyFont="1" applyFill="1" applyBorder="1" applyProtection="1">
      <alignment vertical="center"/>
      <protection hidden="1"/>
    </xf>
    <xf numFmtId="0" fontId="12" fillId="35" borderId="23" xfId="63" applyFont="1" applyFill="1" applyBorder="1" applyAlignment="1" applyProtection="1">
      <alignment horizontal="left"/>
      <protection hidden="1"/>
    </xf>
    <xf numFmtId="0" fontId="0" fillId="35" borderId="32" xfId="63" applyFill="1" applyBorder="1" applyAlignment="1" applyProtection="1">
      <alignment horizontal="left" vertical="center"/>
      <protection hidden="1"/>
    </xf>
    <xf numFmtId="0" fontId="9" fillId="35" borderId="23" xfId="63" applyFont="1" applyFill="1" applyBorder="1" applyAlignment="1" applyProtection="1">
      <alignment horizontal="left"/>
      <protection hidden="1"/>
    </xf>
    <xf numFmtId="0" fontId="0" fillId="35" borderId="23" xfId="63" applyFill="1" applyBorder="1" applyAlignment="1" applyProtection="1">
      <alignment horizontal="center" vertical="center"/>
      <protection hidden="1"/>
    </xf>
    <xf numFmtId="0" fontId="27" fillId="35" borderId="10" xfId="63" applyFont="1" applyFill="1" applyBorder="1" applyAlignment="1" applyProtection="1">
      <alignment horizontal="left" vertical="center"/>
      <protection hidden="1"/>
    </xf>
    <xf numFmtId="0" fontId="1" fillId="35" borderId="38" xfId="63" applyFont="1" applyFill="1" applyBorder="1" applyAlignment="1" applyProtection="1">
      <alignment horizontal="left" vertical="center"/>
      <protection hidden="1"/>
    </xf>
    <xf numFmtId="0" fontId="1" fillId="35" borderId="13" xfId="63" applyFont="1" applyFill="1" applyBorder="1" applyProtection="1">
      <alignment vertical="center"/>
      <protection hidden="1"/>
    </xf>
    <xf numFmtId="0" fontId="1" fillId="35" borderId="17" xfId="63" applyFont="1" applyFill="1" applyBorder="1" applyProtection="1">
      <alignment vertical="center"/>
      <protection hidden="1"/>
    </xf>
    <xf numFmtId="0" fontId="0" fillId="35" borderId="16" xfId="63" applyFont="1" applyFill="1" applyBorder="1" applyProtection="1">
      <alignment vertical="center"/>
      <protection hidden="1"/>
    </xf>
    <xf numFmtId="0" fontId="1" fillId="35" borderId="11" xfId="63" applyFont="1" applyFill="1" applyBorder="1" applyProtection="1">
      <alignment vertical="center"/>
      <protection hidden="1"/>
    </xf>
    <xf numFmtId="0" fontId="0" fillId="35" borderId="35" xfId="63" applyFont="1" applyFill="1" applyBorder="1" applyProtection="1">
      <alignment vertical="center"/>
      <protection hidden="1"/>
    </xf>
    <xf numFmtId="0" fontId="0" fillId="35" borderId="11" xfId="63" applyFont="1" applyFill="1" applyBorder="1" applyProtection="1">
      <alignment vertical="center"/>
      <protection hidden="1"/>
    </xf>
    <xf numFmtId="176" fontId="8" fillId="35" borderId="36" xfId="63" applyNumberFormat="1" applyFont="1" applyFill="1" applyBorder="1" applyAlignment="1" applyProtection="1">
      <alignment horizontal="center" vertical="center"/>
      <protection locked="0"/>
    </xf>
    <xf numFmtId="176" fontId="8" fillId="35" borderId="16" xfId="63" applyNumberFormat="1" applyFont="1" applyFill="1" applyBorder="1" applyAlignment="1" applyProtection="1">
      <alignment horizontal="center" vertical="center"/>
      <protection locked="0"/>
    </xf>
    <xf numFmtId="0" fontId="1" fillId="35" borderId="39" xfId="63" applyFont="1" applyFill="1" applyBorder="1" applyAlignment="1" applyProtection="1">
      <alignment horizontal="left" vertical="center"/>
      <protection hidden="1"/>
    </xf>
    <xf numFmtId="0" fontId="9" fillId="35" borderId="10" xfId="63" applyFont="1" applyFill="1" applyBorder="1" applyAlignment="1" applyProtection="1">
      <alignment horizontal="left"/>
      <protection hidden="1"/>
    </xf>
    <xf numFmtId="0" fontId="9" fillId="35" borderId="34" xfId="63" applyFont="1" applyFill="1" applyBorder="1" applyAlignment="1" applyProtection="1">
      <alignment horizontal="left"/>
      <protection hidden="1"/>
    </xf>
    <xf numFmtId="178" fontId="8" fillId="35" borderId="16" xfId="63" applyNumberFormat="1" applyFont="1" applyFill="1" applyBorder="1" applyAlignment="1" applyProtection="1">
      <alignment horizontal="center" vertical="center"/>
      <protection locked="0"/>
    </xf>
    <xf numFmtId="0" fontId="0" fillId="35" borderId="13" xfId="63" applyFont="1" applyFill="1" applyBorder="1" applyProtection="1">
      <alignment vertical="center"/>
      <protection hidden="1"/>
    </xf>
    <xf numFmtId="0" fontId="16" fillId="35" borderId="10" xfId="63" applyFont="1" applyFill="1" applyBorder="1" applyAlignment="1" applyProtection="1">
      <alignment horizontal="left"/>
      <protection hidden="1"/>
    </xf>
    <xf numFmtId="181" fontId="14" fillId="35" borderId="18" xfId="63" applyNumberFormat="1" applyFont="1" applyFill="1" applyBorder="1" applyAlignment="1" applyProtection="1">
      <alignment horizontal="center" vertical="center"/>
      <protection hidden="1"/>
    </xf>
    <xf numFmtId="0" fontId="1" fillId="35" borderId="16" xfId="63" applyFont="1" applyFill="1" applyBorder="1" applyAlignment="1" applyProtection="1">
      <alignment horizontal="left" vertical="center"/>
      <protection hidden="1"/>
    </xf>
    <xf numFmtId="0" fontId="9" fillId="35" borderId="14" xfId="63" applyFont="1" applyFill="1" applyBorder="1" applyAlignment="1" applyProtection="1">
      <alignment horizontal="left" vertical="center"/>
      <protection hidden="1"/>
    </xf>
    <xf numFmtId="0" fontId="0" fillId="35" borderId="17" xfId="63" applyFill="1" applyBorder="1" applyProtection="1">
      <alignment vertical="center"/>
      <protection hidden="1"/>
    </xf>
    <xf numFmtId="0" fontId="9" fillId="35" borderId="18" xfId="63" applyFont="1" applyFill="1" applyBorder="1" applyAlignment="1" applyProtection="1">
      <alignment horizontal="left"/>
      <protection hidden="1"/>
    </xf>
    <xf numFmtId="0" fontId="0" fillId="35" borderId="18" xfId="63" applyFill="1" applyBorder="1" applyAlignment="1" applyProtection="1">
      <alignment horizontal="center" vertical="center"/>
      <protection hidden="1"/>
    </xf>
    <xf numFmtId="0" fontId="1" fillId="35" borderId="18" xfId="63" applyFont="1" applyFill="1" applyBorder="1" applyAlignment="1" applyProtection="1">
      <alignment horizontal="left" vertical="center"/>
      <protection hidden="1"/>
    </xf>
    <xf numFmtId="0" fontId="0" fillId="35" borderId="19" xfId="63" applyFill="1" applyBorder="1" applyProtection="1">
      <alignment vertical="center"/>
      <protection hidden="1"/>
    </xf>
    <xf numFmtId="0" fontId="9" fillId="35" borderId="0" xfId="63" applyFont="1" applyFill="1" applyBorder="1" applyAlignment="1" applyProtection="1">
      <alignment horizontal="left"/>
      <protection hidden="1"/>
    </xf>
    <xf numFmtId="0" fontId="0" fillId="35" borderId="0" xfId="63" applyFill="1" applyBorder="1" applyAlignment="1" applyProtection="1">
      <alignment horizontal="center" vertical="center"/>
      <protection hidden="1"/>
    </xf>
    <xf numFmtId="0" fontId="0" fillId="35" borderId="20" xfId="63" applyFill="1" applyBorder="1" applyAlignment="1" applyProtection="1">
      <alignment horizontal="center" vertical="center"/>
      <protection hidden="1"/>
    </xf>
    <xf numFmtId="0" fontId="0" fillId="35" borderId="18" xfId="63" applyFont="1" applyFill="1" applyBorder="1" applyAlignment="1" applyProtection="1">
      <alignment horizontal="left" vertical="center"/>
      <protection hidden="1"/>
    </xf>
    <xf numFmtId="0" fontId="0" fillId="35" borderId="16" xfId="63" applyFont="1" applyFill="1" applyBorder="1" applyAlignment="1" applyProtection="1">
      <alignment horizontal="left" vertical="center"/>
      <protection hidden="1"/>
    </xf>
    <xf numFmtId="0" fontId="1" fillId="35" borderId="13" xfId="63" applyFont="1" applyFill="1" applyBorder="1" applyAlignment="1" applyProtection="1">
      <alignment horizontal="left" vertical="center"/>
      <protection hidden="1"/>
    </xf>
    <xf numFmtId="0" fontId="9" fillId="35" borderId="16" xfId="63" applyFont="1" applyFill="1" applyBorder="1" applyAlignment="1" applyProtection="1">
      <alignment horizontal="left"/>
      <protection hidden="1"/>
    </xf>
    <xf numFmtId="0" fontId="0" fillId="35" borderId="16" xfId="63" applyFill="1" applyBorder="1" applyAlignment="1" applyProtection="1">
      <alignment horizontal="center" vertical="center"/>
      <protection hidden="1"/>
    </xf>
    <xf numFmtId="0" fontId="0" fillId="35" borderId="15" xfId="63" applyFill="1" applyBorder="1" applyAlignment="1" applyProtection="1">
      <alignment horizontal="center" vertical="center"/>
      <protection hidden="1"/>
    </xf>
    <xf numFmtId="0" fontId="13" fillId="35" borderId="13" xfId="63" applyFont="1" applyFill="1" applyBorder="1" applyProtection="1">
      <alignment vertical="center"/>
      <protection hidden="1"/>
    </xf>
    <xf numFmtId="0" fontId="0" fillId="35" borderId="30" xfId="63" applyFont="1" applyFill="1" applyBorder="1" applyProtection="1">
      <alignment vertical="center"/>
      <protection hidden="1"/>
    </xf>
    <xf numFmtId="0" fontId="1" fillId="35" borderId="23" xfId="63" applyFont="1" applyFill="1" applyBorder="1" applyAlignment="1" applyProtection="1">
      <alignment horizontal="left" vertical="center"/>
      <protection hidden="1"/>
    </xf>
    <xf numFmtId="0" fontId="0" fillId="35" borderId="23" xfId="63" applyFill="1" applyBorder="1" applyAlignment="1" applyProtection="1">
      <alignment horizontal="left" vertical="center"/>
      <protection hidden="1"/>
    </xf>
    <xf numFmtId="0" fontId="0" fillId="35" borderId="31" xfId="63" applyFill="1" applyBorder="1" applyAlignment="1" applyProtection="1">
      <alignment horizontal="left" vertical="center"/>
      <protection hidden="1"/>
    </xf>
    <xf numFmtId="176" fontId="8" fillId="35" borderId="18" xfId="63" applyNumberFormat="1" applyFont="1" applyFill="1" applyBorder="1" applyAlignment="1" applyProtection="1">
      <alignment horizontal="center" vertical="center"/>
      <protection hidden="1"/>
    </xf>
    <xf numFmtId="0" fontId="0" fillId="35" borderId="18" xfId="63" applyFont="1" applyFill="1" applyBorder="1" applyProtection="1">
      <alignment vertical="center"/>
      <protection hidden="1"/>
    </xf>
    <xf numFmtId="0" fontId="9" fillId="35" borderId="15" xfId="63" applyFont="1" applyFill="1" applyBorder="1" applyAlignment="1" applyProtection="1">
      <alignment horizontal="left" vertical="center"/>
      <protection hidden="1"/>
    </xf>
    <xf numFmtId="0" fontId="27" fillId="35" borderId="24" xfId="63" applyFont="1" applyFill="1" applyBorder="1" applyAlignment="1" applyProtection="1">
      <alignment horizontal="left" vertical="center"/>
      <protection hidden="1"/>
    </xf>
    <xf numFmtId="0" fontId="4" fillId="35" borderId="25" xfId="63" applyFont="1" applyFill="1" applyBorder="1" applyAlignment="1" applyProtection="1">
      <alignment horizontal="left" vertical="center"/>
      <protection hidden="1"/>
    </xf>
    <xf numFmtId="0" fontId="4" fillId="35" borderId="26" xfId="63" applyFont="1" applyFill="1" applyBorder="1" applyAlignment="1" applyProtection="1">
      <alignment horizontal="left" vertical="center"/>
      <protection hidden="1"/>
    </xf>
    <xf numFmtId="0" fontId="0" fillId="35" borderId="18" xfId="63" applyFill="1" applyBorder="1" applyProtection="1">
      <alignment vertical="center"/>
      <protection hidden="1"/>
    </xf>
    <xf numFmtId="0" fontId="1" fillId="35" borderId="18" xfId="63" applyFont="1" applyFill="1" applyBorder="1" applyProtection="1">
      <alignment vertical="center"/>
      <protection hidden="1"/>
    </xf>
    <xf numFmtId="0" fontId="9" fillId="35" borderId="15" xfId="63" applyFont="1" applyFill="1" applyBorder="1" applyAlignment="1" applyProtection="1">
      <alignment horizontal="left"/>
      <protection hidden="1"/>
    </xf>
    <xf numFmtId="176" fontId="8" fillId="35" borderId="16" xfId="63" applyNumberFormat="1" applyFont="1" applyFill="1" applyBorder="1" applyAlignment="1" applyProtection="1">
      <alignment horizontal="center" vertical="center"/>
      <protection locked="0"/>
    </xf>
    <xf numFmtId="177" fontId="8" fillId="35" borderId="16" xfId="63" applyNumberFormat="1" applyFont="1" applyFill="1" applyBorder="1" applyAlignment="1" applyProtection="1">
      <alignment horizontal="center" vertical="center"/>
      <protection locked="0"/>
    </xf>
    <xf numFmtId="181" fontId="8" fillId="35" borderId="18" xfId="63" applyNumberFormat="1" applyFont="1" applyFill="1" applyBorder="1" applyAlignment="1" applyProtection="1">
      <alignment horizontal="center" vertical="center"/>
      <protection locked="0"/>
    </xf>
    <xf numFmtId="0" fontId="8" fillId="35" borderId="13" xfId="63" applyFont="1" applyFill="1" applyBorder="1" applyAlignment="1" applyProtection="1">
      <alignment horizontal="center" vertical="center"/>
      <protection locked="0"/>
    </xf>
    <xf numFmtId="0" fontId="1" fillId="33" borderId="13" xfId="63" applyFont="1" applyFill="1" applyBorder="1" applyProtection="1">
      <alignment vertical="center"/>
      <protection hidden="1"/>
    </xf>
    <xf numFmtId="0" fontId="0" fillId="33" borderId="13" xfId="63" applyFont="1" applyFill="1" applyBorder="1" applyProtection="1">
      <alignment vertical="center"/>
      <protection hidden="1"/>
    </xf>
    <xf numFmtId="0" fontId="1" fillId="33" borderId="30" xfId="63" applyFont="1" applyFill="1" applyBorder="1" applyAlignment="1" applyProtection="1">
      <alignment horizontal="left" vertical="center"/>
      <protection hidden="1"/>
    </xf>
    <xf numFmtId="0" fontId="1" fillId="33" borderId="11" xfId="63" applyFont="1" applyFill="1" applyBorder="1" applyProtection="1">
      <alignment vertical="center"/>
      <protection hidden="1"/>
    </xf>
    <xf numFmtId="0" fontId="1" fillId="33" borderId="35" xfId="63" applyFont="1" applyFill="1" applyBorder="1" applyProtection="1">
      <alignment vertical="center"/>
      <protection hidden="1"/>
    </xf>
    <xf numFmtId="0" fontId="1" fillId="33" borderId="21" xfId="63" applyFont="1" applyFill="1" applyBorder="1" applyProtection="1">
      <alignment vertical="center"/>
      <protection hidden="1"/>
    </xf>
    <xf numFmtId="0" fontId="9" fillId="33" borderId="14" xfId="63" applyFont="1" applyFill="1" applyBorder="1" applyAlignment="1" applyProtection="1">
      <alignment horizontal="left" vertical="center"/>
      <protection hidden="1"/>
    </xf>
    <xf numFmtId="0" fontId="9" fillId="33" borderId="14" xfId="63" applyFont="1" applyFill="1" applyBorder="1" applyProtection="1">
      <alignment vertical="center"/>
      <protection hidden="1"/>
    </xf>
    <xf numFmtId="0" fontId="9" fillId="33" borderId="31" xfId="63" applyFont="1" applyFill="1" applyBorder="1" applyAlignment="1" applyProtection="1">
      <alignment horizontal="left" vertical="center"/>
      <protection hidden="1"/>
    </xf>
    <xf numFmtId="0" fontId="9" fillId="33" borderId="15" xfId="63" applyFont="1" applyFill="1" applyBorder="1" applyAlignment="1" applyProtection="1">
      <alignment horizontal="left" vertical="center"/>
      <protection hidden="1"/>
    </xf>
    <xf numFmtId="0" fontId="9" fillId="33" borderId="10" xfId="63" applyFont="1" applyFill="1" applyBorder="1" applyAlignment="1" applyProtection="1">
      <alignment horizontal="left"/>
      <protection hidden="1"/>
    </xf>
    <xf numFmtId="0" fontId="74" fillId="0" borderId="0" xfId="0" applyFont="1" applyAlignment="1">
      <alignment vertical="center"/>
    </xf>
    <xf numFmtId="0" fontId="75" fillId="0" borderId="0" xfId="0" applyFont="1" applyBorder="1" applyAlignment="1">
      <alignment wrapText="1"/>
    </xf>
    <xf numFmtId="0" fontId="18" fillId="36" borderId="16" xfId="63" applyFont="1" applyFill="1" applyBorder="1" applyAlignment="1">
      <alignment vertical="center"/>
      <protection/>
    </xf>
    <xf numFmtId="0" fontId="19" fillId="36" borderId="10" xfId="63" applyFont="1" applyFill="1" applyBorder="1" applyAlignment="1">
      <alignment vertical="center"/>
      <protection/>
    </xf>
    <xf numFmtId="0" fontId="1" fillId="35" borderId="34" xfId="63" applyFont="1" applyFill="1" applyBorder="1" applyAlignment="1" applyProtection="1">
      <alignment horizontal="left" vertical="center"/>
      <protection hidden="1"/>
    </xf>
    <xf numFmtId="0" fontId="28" fillId="0" borderId="0" xfId="63" applyFont="1" applyFill="1" applyBorder="1" applyAlignment="1">
      <alignment wrapText="1"/>
      <protection/>
    </xf>
    <xf numFmtId="0" fontId="75" fillId="0" borderId="0" xfId="63" applyFont="1" applyFill="1" applyBorder="1" applyAlignment="1">
      <alignment wrapText="1"/>
      <protection/>
    </xf>
    <xf numFmtId="0" fontId="75" fillId="0" borderId="0" xfId="0" applyFont="1" applyBorder="1" applyAlignment="1">
      <alignment wrapText="1"/>
    </xf>
    <xf numFmtId="176" fontId="54" fillId="0" borderId="42" xfId="63" applyNumberFormat="1" applyFont="1" applyFill="1" applyBorder="1" applyAlignment="1" applyProtection="1">
      <alignment horizontal="center" vertical="center"/>
      <protection hidden="1"/>
    </xf>
    <xf numFmtId="176" fontId="55" fillId="0" borderId="43" xfId="63" applyNumberFormat="1" applyFont="1" applyFill="1" applyBorder="1" applyAlignment="1" applyProtection="1">
      <alignment horizontal="center" vertical="center"/>
      <protection hidden="1"/>
    </xf>
    <xf numFmtId="176" fontId="55" fillId="0" borderId="44" xfId="63" applyNumberFormat="1" applyFont="1" applyFill="1" applyBorder="1" applyAlignment="1" applyProtection="1">
      <alignment horizontal="center" vertical="center"/>
      <protection hidden="1"/>
    </xf>
    <xf numFmtId="0" fontId="76" fillId="0" borderId="45" xfId="63" applyFont="1" applyFill="1" applyBorder="1" applyAlignment="1">
      <alignment horizontal="center" vertical="center"/>
      <protection/>
    </xf>
    <xf numFmtId="0" fontId="76" fillId="0" borderId="46" xfId="63" applyFont="1" applyFill="1" applyBorder="1" applyAlignment="1">
      <alignment horizontal="center" vertical="center"/>
      <protection/>
    </xf>
    <xf numFmtId="0" fontId="76" fillId="0" borderId="47" xfId="63" applyFont="1" applyFill="1" applyBorder="1" applyAlignment="1">
      <alignment horizontal="center" vertical="center"/>
      <protection/>
    </xf>
    <xf numFmtId="0" fontId="2" fillId="36" borderId="10" xfId="63" applyFont="1" applyFill="1" applyBorder="1" applyAlignment="1">
      <alignment vertical="center"/>
      <protection/>
    </xf>
    <xf numFmtId="0" fontId="2" fillId="36" borderId="11" xfId="63" applyFont="1" applyFill="1" applyBorder="1" applyAlignment="1">
      <alignment vertical="center"/>
      <protection/>
    </xf>
    <xf numFmtId="0" fontId="27" fillId="34" borderId="24" xfId="63" applyFont="1" applyFill="1" applyBorder="1" applyAlignment="1">
      <alignment horizontal="left" vertical="center"/>
      <protection/>
    </xf>
    <xf numFmtId="0" fontId="27" fillId="34" borderId="25" xfId="63" applyFont="1" applyFill="1" applyBorder="1" applyAlignment="1">
      <alignment horizontal="left" vertical="center"/>
      <protection/>
    </xf>
    <xf numFmtId="0" fontId="27" fillId="34" borderId="48" xfId="63" applyFont="1" applyFill="1" applyBorder="1" applyAlignment="1">
      <alignment horizontal="left" vertical="center"/>
      <protection/>
    </xf>
    <xf numFmtId="0" fontId="27" fillId="34" borderId="26" xfId="63" applyFont="1" applyFill="1" applyBorder="1" applyAlignment="1">
      <alignment horizontal="left" vertical="center"/>
      <protection/>
    </xf>
    <xf numFmtId="0" fontId="76" fillId="0" borderId="49" xfId="63" applyFont="1" applyBorder="1" applyAlignment="1">
      <alignment horizontal="center"/>
      <protection/>
    </xf>
    <xf numFmtId="0" fontId="0" fillId="0" borderId="50" xfId="63" applyBorder="1" applyAlignment="1">
      <alignment horizontal="center"/>
      <protection/>
    </xf>
    <xf numFmtId="0" fontId="0" fillId="0" borderId="51" xfId="63" applyBorder="1" applyAlignment="1">
      <alignment horizontal="center"/>
      <protection/>
    </xf>
    <xf numFmtId="0" fontId="27" fillId="33" borderId="52" xfId="63" applyFont="1" applyFill="1" applyBorder="1" applyAlignment="1">
      <alignment horizontal="left" vertical="center"/>
      <protection/>
    </xf>
    <xf numFmtId="0" fontId="27" fillId="33" borderId="36" xfId="63" applyFont="1" applyFill="1" applyBorder="1" applyAlignment="1">
      <alignment horizontal="left" vertical="center"/>
      <protection/>
    </xf>
    <xf numFmtId="0" fontId="27" fillId="33" borderId="53" xfId="63" applyFont="1" applyFill="1" applyBorder="1" applyAlignment="1">
      <alignment horizontal="left" vertical="center"/>
      <protection/>
    </xf>
    <xf numFmtId="0" fontId="27" fillId="33" borderId="38" xfId="63" applyFont="1" applyFill="1" applyBorder="1" applyAlignment="1">
      <alignment horizontal="left" vertical="center"/>
      <protection/>
    </xf>
    <xf numFmtId="0" fontId="27" fillId="33" borderId="39" xfId="63" applyFont="1" applyFill="1" applyBorder="1" applyAlignment="1">
      <alignment horizontal="left" vertical="center"/>
      <protection/>
    </xf>
    <xf numFmtId="0" fontId="27" fillId="36" borderId="27" xfId="63" applyFont="1" applyFill="1" applyBorder="1" applyAlignment="1">
      <alignment horizontal="left" vertical="center"/>
      <protection/>
    </xf>
    <xf numFmtId="0" fontId="27" fillId="36" borderId="28" xfId="63" applyFont="1" applyFill="1" applyBorder="1" applyAlignment="1">
      <alignment horizontal="left" vertical="center"/>
      <protection/>
    </xf>
    <xf numFmtId="0" fontId="27" fillId="36" borderId="54" xfId="63" applyFont="1" applyFill="1" applyBorder="1" applyAlignment="1">
      <alignment horizontal="left" vertical="center"/>
      <protection/>
    </xf>
    <xf numFmtId="0" fontId="27" fillId="36" borderId="29" xfId="63" applyFont="1" applyFill="1" applyBorder="1" applyAlignment="1">
      <alignment horizontal="left" vertical="center"/>
      <protection/>
    </xf>
    <xf numFmtId="0" fontId="0" fillId="0" borderId="42" xfId="63" applyFill="1" applyBorder="1" applyAlignment="1">
      <alignment horizontal="center" vertical="center"/>
      <protection/>
    </xf>
    <xf numFmtId="0" fontId="0" fillId="0" borderId="43" xfId="63" applyFill="1" applyBorder="1" applyAlignment="1">
      <alignment horizontal="center" vertical="center"/>
      <protection/>
    </xf>
    <xf numFmtId="0" fontId="0" fillId="0" borderId="44" xfId="63" applyFill="1" applyBorder="1" applyAlignment="1">
      <alignment horizontal="center" vertical="center"/>
      <protection/>
    </xf>
    <xf numFmtId="0" fontId="4" fillId="35" borderId="23" xfId="63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55" xfId="0" applyBorder="1" applyAlignment="1" applyProtection="1">
      <alignment vertical="center" wrapText="1"/>
      <protection hidden="1"/>
    </xf>
    <xf numFmtId="176" fontId="8" fillId="0" borderId="56" xfId="63" applyNumberFormat="1" applyFont="1" applyFill="1" applyBorder="1" applyAlignment="1" applyProtection="1">
      <alignment horizontal="center" vertical="center"/>
      <protection hidden="1"/>
    </xf>
    <xf numFmtId="176" fontId="8" fillId="0" borderId="41" xfId="63" applyNumberFormat="1" applyFont="1" applyFill="1" applyBorder="1" applyAlignment="1" applyProtection="1">
      <alignment horizontal="center" vertical="center"/>
      <protection hidden="1"/>
    </xf>
    <xf numFmtId="176" fontId="8" fillId="0" borderId="57" xfId="63" applyNumberFormat="1" applyFont="1" applyFill="1" applyBorder="1" applyAlignment="1" applyProtection="1">
      <alignment horizontal="center" vertical="center"/>
      <protection hidden="1"/>
    </xf>
    <xf numFmtId="0" fontId="27" fillId="35" borderId="27" xfId="63" applyFont="1" applyFill="1" applyBorder="1" applyAlignment="1" applyProtection="1">
      <alignment horizontal="left" vertical="center"/>
      <protection hidden="1"/>
    </xf>
    <xf numFmtId="0" fontId="27" fillId="35" borderId="28" xfId="63" applyFont="1" applyFill="1" applyBorder="1" applyAlignment="1" applyProtection="1">
      <alignment horizontal="left" vertical="center"/>
      <protection hidden="1"/>
    </xf>
    <xf numFmtId="0" fontId="27" fillId="35" borderId="29" xfId="63" applyFont="1" applyFill="1" applyBorder="1" applyAlignment="1" applyProtection="1">
      <alignment horizontal="left" vertical="center"/>
      <protection hidden="1"/>
    </xf>
    <xf numFmtId="0" fontId="0" fillId="35" borderId="23" xfId="63" applyFill="1" applyBorder="1" applyAlignment="1" applyProtection="1">
      <alignment horizontal="center" vertical="center"/>
      <protection hidden="1"/>
    </xf>
    <xf numFmtId="0" fontId="0" fillId="35" borderId="55" xfId="63" applyFill="1" applyBorder="1" applyAlignment="1" applyProtection="1">
      <alignment horizontal="center" vertical="center"/>
      <protection hidden="1"/>
    </xf>
    <xf numFmtId="0" fontId="0" fillId="35" borderId="12" xfId="63" applyFill="1" applyBorder="1" applyAlignment="1">
      <alignment horizontal="center" vertical="center"/>
      <protection/>
    </xf>
    <xf numFmtId="0" fontId="4" fillId="35" borderId="45" xfId="63" applyFont="1" applyFill="1" applyBorder="1" applyAlignment="1" applyProtection="1">
      <alignment horizontal="center" vertical="center"/>
      <protection hidden="1"/>
    </xf>
    <xf numFmtId="0" fontId="4" fillId="35" borderId="46" xfId="63" applyFont="1" applyFill="1" applyBorder="1" applyAlignment="1" applyProtection="1">
      <alignment horizontal="center" vertical="center"/>
      <protection hidden="1"/>
    </xf>
    <xf numFmtId="0" fontId="4" fillId="35" borderId="47" xfId="63" applyFont="1" applyFill="1" applyBorder="1" applyAlignment="1" applyProtection="1">
      <alignment horizontal="center" vertical="center"/>
      <protection hidden="1"/>
    </xf>
    <xf numFmtId="0" fontId="77" fillId="35" borderId="28" xfId="63" applyFont="1" applyFill="1" applyBorder="1" applyAlignment="1" applyProtection="1">
      <alignment horizontal="left" vertical="center"/>
      <protection hidden="1"/>
    </xf>
    <xf numFmtId="0" fontId="77" fillId="35" borderId="29" xfId="63" applyFont="1" applyFill="1" applyBorder="1" applyAlignment="1" applyProtection="1">
      <alignment horizontal="left" vertical="center"/>
      <protection hidden="1"/>
    </xf>
    <xf numFmtId="0" fontId="4" fillId="35" borderId="27" xfId="63" applyFont="1" applyFill="1" applyBorder="1" applyAlignment="1">
      <alignment horizontal="left" vertical="center"/>
      <protection/>
    </xf>
    <xf numFmtId="0" fontId="4" fillId="35" borderId="28" xfId="63" applyFont="1" applyFill="1" applyBorder="1" applyAlignment="1">
      <alignment horizontal="left" vertical="center"/>
      <protection/>
    </xf>
    <xf numFmtId="0" fontId="4" fillId="35" borderId="29" xfId="63" applyFont="1" applyFill="1" applyBorder="1" applyAlignment="1">
      <alignment horizontal="left" vertical="center"/>
      <protection/>
    </xf>
    <xf numFmtId="0" fontId="0" fillId="35" borderId="23" xfId="63" applyFill="1" applyBorder="1" applyAlignment="1">
      <alignment horizontal="center" vertical="center"/>
      <protection/>
    </xf>
    <xf numFmtId="0" fontId="0" fillId="35" borderId="55" xfId="63" applyFill="1" applyBorder="1" applyAlignment="1">
      <alignment horizontal="center" vertical="center"/>
      <protection/>
    </xf>
    <xf numFmtId="0" fontId="4" fillId="35" borderId="45" xfId="63" applyFont="1" applyFill="1" applyBorder="1" applyAlignment="1">
      <alignment horizontal="center" vertical="center"/>
      <protection/>
    </xf>
    <xf numFmtId="0" fontId="4" fillId="35" borderId="46" xfId="63" applyFont="1" applyFill="1" applyBorder="1" applyAlignment="1">
      <alignment horizontal="center" vertical="center"/>
      <protection/>
    </xf>
    <xf numFmtId="0" fontId="4" fillId="35" borderId="47" xfId="63" applyFont="1" applyFill="1" applyBorder="1" applyAlignment="1">
      <alignment horizontal="center" vertical="center"/>
      <protection/>
    </xf>
    <xf numFmtId="0" fontId="0" fillId="35" borderId="45" xfId="63" applyFill="1" applyBorder="1" applyAlignment="1">
      <alignment horizontal="center" vertical="center"/>
      <protection/>
    </xf>
    <xf numFmtId="0" fontId="0" fillId="35" borderId="46" xfId="63" applyFill="1" applyBorder="1" applyAlignment="1">
      <alignment horizontal="center" vertical="center"/>
      <protection/>
    </xf>
    <xf numFmtId="0" fontId="0" fillId="35" borderId="47" xfId="63" applyFill="1" applyBorder="1" applyAlignment="1">
      <alignment horizontal="center" vertical="center"/>
      <protection/>
    </xf>
    <xf numFmtId="0" fontId="4" fillId="35" borderId="23" xfId="6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35" borderId="27" xfId="63" applyFill="1" applyBorder="1" applyAlignment="1">
      <alignment horizontal="left" vertical="center"/>
      <protection/>
    </xf>
    <xf numFmtId="0" fontId="0" fillId="35" borderId="28" xfId="63" applyFill="1" applyBorder="1" applyAlignment="1">
      <alignment horizontal="left" vertical="center"/>
      <protection/>
    </xf>
    <xf numFmtId="0" fontId="0" fillId="35" borderId="29" xfId="63" applyFill="1" applyBorder="1" applyAlignment="1">
      <alignment horizontal="left" vertical="center"/>
      <protection/>
    </xf>
    <xf numFmtId="0" fontId="4" fillId="34" borderId="24" xfId="63" applyFont="1" applyFill="1" applyBorder="1" applyAlignment="1">
      <alignment horizontal="left" vertical="center"/>
      <protection/>
    </xf>
    <xf numFmtId="0" fontId="4" fillId="34" borderId="25" xfId="63" applyFont="1" applyFill="1" applyBorder="1" applyAlignment="1">
      <alignment horizontal="left" vertical="center"/>
      <protection/>
    </xf>
    <xf numFmtId="0" fontId="4" fillId="34" borderId="48" xfId="63" applyFont="1" applyFill="1" applyBorder="1" applyAlignment="1">
      <alignment horizontal="left" vertical="center"/>
      <protection/>
    </xf>
    <xf numFmtId="0" fontId="4" fillId="34" borderId="26" xfId="63" applyFont="1" applyFill="1" applyBorder="1" applyAlignment="1">
      <alignment horizontal="left" vertical="center"/>
      <protection/>
    </xf>
    <xf numFmtId="0" fontId="4" fillId="33" borderId="24" xfId="63" applyFont="1" applyFill="1" applyBorder="1" applyAlignment="1">
      <alignment horizontal="left" vertical="center"/>
      <protection/>
    </xf>
    <xf numFmtId="0" fontId="4" fillId="33" borderId="25" xfId="63" applyFont="1" applyFill="1" applyBorder="1" applyAlignment="1">
      <alignment horizontal="left" vertical="center"/>
      <protection/>
    </xf>
    <xf numFmtId="0" fontId="4" fillId="33" borderId="58" xfId="63" applyFont="1" applyFill="1" applyBorder="1" applyAlignment="1">
      <alignment horizontal="left" vertical="center"/>
      <protection/>
    </xf>
    <xf numFmtId="0" fontId="4" fillId="33" borderId="59" xfId="63" applyFont="1" applyFill="1" applyBorder="1" applyAlignment="1">
      <alignment horizontal="left" vertical="center"/>
      <protection/>
    </xf>
    <xf numFmtId="0" fontId="4" fillId="33" borderId="26" xfId="63" applyFont="1" applyFill="1" applyBorder="1" applyAlignment="1">
      <alignment horizontal="left" vertical="center"/>
      <protection/>
    </xf>
    <xf numFmtId="176" fontId="8" fillId="0" borderId="42" xfId="63" applyNumberFormat="1" applyFont="1" applyFill="1" applyBorder="1" applyAlignment="1" applyProtection="1">
      <alignment horizontal="center" vertical="center"/>
      <protection hidden="1"/>
    </xf>
    <xf numFmtId="176" fontId="8" fillId="0" borderId="43" xfId="63" applyNumberFormat="1" applyFont="1" applyFill="1" applyBorder="1" applyAlignment="1" applyProtection="1">
      <alignment horizontal="center" vertical="center"/>
      <protection hidden="1"/>
    </xf>
    <xf numFmtId="176" fontId="8" fillId="0" borderId="44" xfId="63" applyNumberFormat="1" applyFont="1" applyFill="1" applyBorder="1" applyAlignment="1" applyProtection="1">
      <alignment horizontal="center" vertical="center"/>
      <protection hidden="1"/>
    </xf>
    <xf numFmtId="0" fontId="4" fillId="36" borderId="27" xfId="63" applyFont="1" applyFill="1" applyBorder="1" applyAlignment="1">
      <alignment horizontal="left" vertical="center"/>
      <protection/>
    </xf>
    <xf numFmtId="0" fontId="4" fillId="36" borderId="28" xfId="63" applyFont="1" applyFill="1" applyBorder="1" applyAlignment="1">
      <alignment horizontal="left" vertical="center"/>
      <protection/>
    </xf>
    <xf numFmtId="0" fontId="4" fillId="36" borderId="54" xfId="63" applyFont="1" applyFill="1" applyBorder="1" applyAlignment="1">
      <alignment horizontal="left" vertical="center"/>
      <protection/>
    </xf>
    <xf numFmtId="0" fontId="4" fillId="36" borderId="29" xfId="63" applyFont="1" applyFill="1" applyBorder="1" applyAlignment="1">
      <alignment horizontal="left" vertical="center"/>
      <protection/>
    </xf>
    <xf numFmtId="0" fontId="17" fillId="0" borderId="45" xfId="63" applyFont="1" applyFill="1" applyBorder="1" applyAlignment="1">
      <alignment horizontal="right"/>
      <protection/>
    </xf>
    <xf numFmtId="0" fontId="17" fillId="0" borderId="46" xfId="63" applyFont="1" applyFill="1" applyBorder="1" applyAlignment="1">
      <alignment horizontal="right"/>
      <protection/>
    </xf>
    <xf numFmtId="0" fontId="17" fillId="0" borderId="47" xfId="63" applyFont="1" applyFill="1" applyBorder="1" applyAlignment="1">
      <alignment horizontal="right"/>
      <protection/>
    </xf>
    <xf numFmtId="0" fontId="18" fillId="0" borderId="19" xfId="63" applyFont="1" applyFill="1" applyBorder="1" applyAlignment="1">
      <alignment horizontal="right" vertical="center"/>
      <protection/>
    </xf>
    <xf numFmtId="0" fontId="18" fillId="0" borderId="0" xfId="63" applyFont="1" applyFill="1" applyBorder="1" applyAlignment="1">
      <alignment horizontal="right" vertical="center"/>
      <protection/>
    </xf>
    <xf numFmtId="0" fontId="18" fillId="0" borderId="20" xfId="63" applyFont="1" applyFill="1" applyBorder="1" applyAlignment="1">
      <alignment horizontal="right" vertical="center"/>
      <protection/>
    </xf>
    <xf numFmtId="0" fontId="1" fillId="0" borderId="60" xfId="63" applyFont="1" applyFill="1" applyBorder="1" applyAlignment="1">
      <alignment wrapText="1"/>
      <protection/>
    </xf>
    <xf numFmtId="0" fontId="0" fillId="0" borderId="54" xfId="63" applyFill="1" applyBorder="1" applyAlignment="1">
      <alignment wrapText="1"/>
      <protection/>
    </xf>
    <xf numFmtId="0" fontId="0" fillId="0" borderId="61" xfId="63" applyFill="1" applyBorder="1" applyAlignment="1">
      <alignment wrapText="1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2" xfId="63" applyBorder="1" applyAlignment="1">
      <alignment horizontal="center"/>
      <protection/>
    </xf>
    <xf numFmtId="0" fontId="0" fillId="0" borderId="43" xfId="63" applyBorder="1" applyAlignment="1">
      <alignment horizontal="center"/>
      <protection/>
    </xf>
    <xf numFmtId="0" fontId="0" fillId="0" borderId="0" xfId="63" applyBorder="1" applyAlignment="1">
      <alignment horizontal="center"/>
      <protection/>
    </xf>
    <xf numFmtId="0" fontId="0" fillId="0" borderId="44" xfId="63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一般_Sheet1" xfId="62"/>
    <cellStyle name="常规 2" xfId="63"/>
    <cellStyle name="常规_Flyback Transformer design for 370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</xdr:rowOff>
    </xdr:from>
    <xdr:to>
      <xdr:col>0</xdr:col>
      <xdr:colOff>2533650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1"/>
  <sheetViews>
    <sheetView tabSelected="1" zoomScale="80" zoomScaleNormal="80" zoomScalePageLayoutView="0" workbookViewId="0" topLeftCell="A1">
      <selection activeCell="J24" sqref="J24"/>
    </sheetView>
  </sheetViews>
  <sheetFormatPr defaultColWidth="9.140625" defaultRowHeight="15"/>
  <cols>
    <col min="1" max="1" width="41.421875" style="0" customWidth="1"/>
    <col min="2" max="2" width="13.57421875" style="0" customWidth="1"/>
    <col min="3" max="3" width="22.421875" style="0" customWidth="1"/>
    <col min="4" max="4" width="10.00390625" style="0" customWidth="1"/>
    <col min="5" max="5" width="48.7109375" style="0" customWidth="1"/>
    <col min="6" max="6" width="13.00390625" style="0" bestFit="1" customWidth="1"/>
    <col min="8" max="8" width="4.00390625" style="0" customWidth="1"/>
  </cols>
  <sheetData>
    <row r="3" ht="26.25">
      <c r="B3" s="284" t="s">
        <v>543</v>
      </c>
    </row>
    <row r="5" spans="1:7" ht="15">
      <c r="A5" s="289" t="s">
        <v>544</v>
      </c>
      <c r="B5" s="290"/>
      <c r="C5" s="290"/>
      <c r="D5" s="290"/>
      <c r="E5" s="290"/>
      <c r="F5" s="290"/>
      <c r="G5" s="290"/>
    </row>
    <row r="6" spans="1:7" ht="15">
      <c r="A6" s="291"/>
      <c r="B6" s="291"/>
      <c r="C6" s="291"/>
      <c r="D6" s="291"/>
      <c r="E6" s="291"/>
      <c r="F6" s="291"/>
      <c r="G6" s="291"/>
    </row>
    <row r="7" spans="1:7" ht="16.5" thickBot="1">
      <c r="A7" s="285"/>
      <c r="B7" s="285"/>
      <c r="C7" s="285"/>
      <c r="D7" s="285"/>
      <c r="E7" s="285"/>
      <c r="F7" s="285"/>
      <c r="G7" s="285"/>
    </row>
    <row r="8" spans="1:7" ht="16.5" thickBot="1">
      <c r="A8" s="304" t="s">
        <v>542</v>
      </c>
      <c r="B8" s="305"/>
      <c r="C8" s="305"/>
      <c r="D8" s="305"/>
      <c r="E8" s="305"/>
      <c r="F8" s="305"/>
      <c r="G8" s="306"/>
    </row>
    <row r="9" spans="1:7" ht="18.75">
      <c r="A9" s="307" t="s">
        <v>0</v>
      </c>
      <c r="B9" s="308"/>
      <c r="C9" s="309"/>
      <c r="D9" s="3"/>
      <c r="E9" s="310" t="s">
        <v>1</v>
      </c>
      <c r="F9" s="308"/>
      <c r="G9" s="311"/>
    </row>
    <row r="10" spans="1:7" ht="16.5">
      <c r="A10" s="273" t="s">
        <v>464</v>
      </c>
      <c r="B10" s="203">
        <v>85</v>
      </c>
      <c r="C10" s="283" t="s">
        <v>2</v>
      </c>
      <c r="D10" s="3"/>
      <c r="E10" s="276" t="s">
        <v>470</v>
      </c>
      <c r="F10" s="205">
        <v>20</v>
      </c>
      <c r="G10" s="279" t="s">
        <v>3</v>
      </c>
    </row>
    <row r="11" spans="1:7" ht="16.5">
      <c r="A11" s="273" t="s">
        <v>465</v>
      </c>
      <c r="B11" s="203">
        <v>265</v>
      </c>
      <c r="C11" s="283" t="s">
        <v>2</v>
      </c>
      <c r="D11" s="3"/>
      <c r="E11" s="276" t="s">
        <v>471</v>
      </c>
      <c r="F11" s="205">
        <v>300</v>
      </c>
      <c r="G11" s="279" t="s">
        <v>4</v>
      </c>
    </row>
    <row r="12" spans="1:7" ht="16.5">
      <c r="A12" s="273" t="s">
        <v>466</v>
      </c>
      <c r="B12" s="203">
        <v>50</v>
      </c>
      <c r="C12" s="283" t="s">
        <v>5</v>
      </c>
      <c r="D12" s="3"/>
      <c r="E12" s="276" t="s">
        <v>472</v>
      </c>
      <c r="F12" s="205">
        <v>1</v>
      </c>
      <c r="G12" s="279" t="s">
        <v>6</v>
      </c>
    </row>
    <row r="13" spans="1:7" ht="16.5">
      <c r="A13" s="274" t="s">
        <v>467</v>
      </c>
      <c r="B13" s="203">
        <v>70</v>
      </c>
      <c r="C13" s="283" t="s">
        <v>7</v>
      </c>
      <c r="D13" s="3"/>
      <c r="E13" s="276" t="s">
        <v>473</v>
      </c>
      <c r="F13" s="205">
        <v>1</v>
      </c>
      <c r="G13" s="279" t="s">
        <v>6</v>
      </c>
    </row>
    <row r="14" spans="1:7" ht="16.5">
      <c r="A14" s="274" t="s">
        <v>468</v>
      </c>
      <c r="B14" s="203">
        <v>88</v>
      </c>
      <c r="C14" s="283" t="s">
        <v>8</v>
      </c>
      <c r="D14" s="3"/>
      <c r="E14" s="276" t="s">
        <v>474</v>
      </c>
      <c r="F14" s="32">
        <f>Background!F11</f>
        <v>20</v>
      </c>
      <c r="G14" s="280" t="s">
        <v>3</v>
      </c>
    </row>
    <row r="15" spans="1:7" ht="16.5">
      <c r="A15" s="275" t="s">
        <v>469</v>
      </c>
      <c r="B15" s="204">
        <v>0.95</v>
      </c>
      <c r="C15" s="1"/>
      <c r="D15" s="3"/>
      <c r="E15" s="276" t="s">
        <v>475</v>
      </c>
      <c r="F15" s="32">
        <f>Background!F12</f>
        <v>300</v>
      </c>
      <c r="G15" s="280" t="s">
        <v>4</v>
      </c>
    </row>
    <row r="16" spans="1:7" ht="16.5">
      <c r="A16" s="4"/>
      <c r="B16" s="34"/>
      <c r="C16" s="1"/>
      <c r="D16" s="3"/>
      <c r="E16" s="276" t="s">
        <v>476</v>
      </c>
      <c r="F16" s="32">
        <f>Background!F13</f>
        <v>6</v>
      </c>
      <c r="G16" s="280" t="s">
        <v>9</v>
      </c>
    </row>
    <row r="17" spans="1:7" ht="16.5">
      <c r="A17" s="4"/>
      <c r="B17" s="34"/>
      <c r="C17" s="62"/>
      <c r="D17" s="3"/>
      <c r="E17" s="277" t="s">
        <v>477</v>
      </c>
      <c r="F17" s="206">
        <v>180</v>
      </c>
      <c r="G17" s="281" t="s">
        <v>48</v>
      </c>
    </row>
    <row r="18" spans="1:7" ht="17.25" thickBot="1">
      <c r="A18" s="36"/>
      <c r="B18" s="33"/>
      <c r="C18" s="38"/>
      <c r="D18" s="75"/>
      <c r="E18" s="278" t="s">
        <v>478</v>
      </c>
      <c r="F18" s="207">
        <v>2</v>
      </c>
      <c r="G18" s="282" t="s">
        <v>33</v>
      </c>
    </row>
    <row r="19" spans="1:7" ht="16.5" thickBot="1">
      <c r="A19" s="292" t="s">
        <v>554</v>
      </c>
      <c r="B19" s="293"/>
      <c r="C19" s="293"/>
      <c r="D19" s="293"/>
      <c r="E19" s="293"/>
      <c r="F19" s="293"/>
      <c r="G19" s="294"/>
    </row>
    <row r="20" spans="1:7" ht="18.75">
      <c r="A20" s="312" t="s">
        <v>496</v>
      </c>
      <c r="B20" s="313"/>
      <c r="C20" s="313"/>
      <c r="D20" s="314"/>
      <c r="E20" s="313"/>
      <c r="F20" s="313"/>
      <c r="G20" s="315"/>
    </row>
    <row r="21" spans="1:7" ht="15">
      <c r="A21" s="79" t="s">
        <v>479</v>
      </c>
      <c r="B21" s="208">
        <v>0.95</v>
      </c>
      <c r="C21" s="298"/>
      <c r="D21" s="299"/>
      <c r="E21" s="201" t="s">
        <v>483</v>
      </c>
      <c r="F21" s="123">
        <f>Background!F18</f>
        <v>7.136281250000001</v>
      </c>
      <c r="G21" s="120"/>
    </row>
    <row r="22" spans="1:7" ht="15">
      <c r="A22" s="79" t="s">
        <v>480</v>
      </c>
      <c r="B22" s="209">
        <v>1</v>
      </c>
      <c r="C22" s="287" t="s">
        <v>552</v>
      </c>
      <c r="D22" s="112"/>
      <c r="E22" s="201" t="s">
        <v>484</v>
      </c>
      <c r="F22" s="124">
        <v>2.74</v>
      </c>
      <c r="G22" s="120"/>
    </row>
    <row r="23" spans="1:9" ht="15">
      <c r="A23" s="200" t="s">
        <v>481</v>
      </c>
      <c r="B23" s="122">
        <f>Background!B20</f>
        <v>0.4444444444444444</v>
      </c>
      <c r="C23" s="114"/>
      <c r="D23" s="112"/>
      <c r="E23" s="93" t="s">
        <v>485</v>
      </c>
      <c r="F23" s="110">
        <f>Background!F20</f>
        <v>1</v>
      </c>
      <c r="G23" s="286" t="s">
        <v>68</v>
      </c>
      <c r="H23" s="121"/>
      <c r="I23" s="202"/>
    </row>
    <row r="24" spans="1:9" ht="15">
      <c r="A24" s="93" t="s">
        <v>482</v>
      </c>
      <c r="B24" s="210">
        <f>Background!B21</f>
        <v>0.4444444444444444</v>
      </c>
      <c r="C24" s="114"/>
      <c r="D24" s="117"/>
      <c r="E24" s="115"/>
      <c r="F24" s="116"/>
      <c r="G24" s="120"/>
      <c r="I24" s="202"/>
    </row>
    <row r="25" spans="1:7" ht="17.25" customHeight="1" thickBot="1">
      <c r="A25" s="316"/>
      <c r="B25" s="317"/>
      <c r="C25" s="317"/>
      <c r="D25" s="317"/>
      <c r="E25" s="317"/>
      <c r="F25" s="317"/>
      <c r="G25" s="318"/>
    </row>
    <row r="26" spans="1:7" ht="18.75">
      <c r="A26" s="300" t="s">
        <v>490</v>
      </c>
      <c r="B26" s="301"/>
      <c r="C26" s="301"/>
      <c r="D26" s="302"/>
      <c r="E26" s="301"/>
      <c r="F26" s="301"/>
      <c r="G26" s="303"/>
    </row>
    <row r="27" spans="1:7" ht="16.5">
      <c r="A27" s="211" t="s">
        <v>486</v>
      </c>
      <c r="B27" s="107">
        <f>Background!B24</f>
        <v>120.19</v>
      </c>
      <c r="C27" s="132" t="s">
        <v>3</v>
      </c>
      <c r="D27" s="80"/>
      <c r="E27" s="213" t="s">
        <v>491</v>
      </c>
      <c r="F27" s="107">
        <f>Background!F24</f>
        <v>374.71</v>
      </c>
      <c r="G27" s="10" t="s">
        <v>3</v>
      </c>
    </row>
    <row r="28" spans="1:7" ht="16.5">
      <c r="A28" s="211" t="s">
        <v>487</v>
      </c>
      <c r="B28" s="107">
        <f>Background!B25</f>
        <v>529.51</v>
      </c>
      <c r="C28" s="132" t="s">
        <v>3</v>
      </c>
      <c r="D28" s="47"/>
      <c r="E28" s="213" t="s">
        <v>492</v>
      </c>
      <c r="F28" s="107">
        <f>Background!F25</f>
        <v>166.75547445255472</v>
      </c>
      <c r="G28" s="10" t="s">
        <v>3</v>
      </c>
    </row>
    <row r="29" spans="1:7" ht="17.25" thickBot="1">
      <c r="A29" s="212" t="s">
        <v>488</v>
      </c>
      <c r="B29" s="108">
        <f>Background!B26</f>
        <v>1.037264694583173</v>
      </c>
      <c r="C29" s="133" t="s">
        <v>65</v>
      </c>
      <c r="D29" s="47"/>
      <c r="E29" s="211" t="s">
        <v>493</v>
      </c>
      <c r="F29" s="107">
        <f>Background!F26</f>
        <v>2.6999999999999993</v>
      </c>
      <c r="G29" s="9" t="s">
        <v>65</v>
      </c>
    </row>
    <row r="30" spans="1:7" ht="17.25" thickBot="1">
      <c r="A30" s="212" t="s">
        <v>489</v>
      </c>
      <c r="B30" s="87">
        <f>Background!B27</f>
        <v>0.1955766580674447</v>
      </c>
      <c r="C30" s="133" t="s">
        <v>65</v>
      </c>
      <c r="D30" s="47"/>
      <c r="E30" s="214" t="s">
        <v>494</v>
      </c>
      <c r="F30" s="109">
        <f>Background!F27</f>
        <v>0.3</v>
      </c>
      <c r="G30" s="9" t="s">
        <v>65</v>
      </c>
    </row>
    <row r="31" spans="1:7" ht="17.25" thickBot="1">
      <c r="A31" s="92"/>
      <c r="B31" s="87"/>
      <c r="C31" s="133"/>
      <c r="D31" s="81"/>
      <c r="E31" s="211" t="s">
        <v>495</v>
      </c>
      <c r="F31" s="109">
        <f>Background!F28</f>
        <v>0.676983612023541</v>
      </c>
      <c r="G31" s="9" t="s">
        <v>65</v>
      </c>
    </row>
    <row r="32" spans="1:7" ht="15.75" thickBot="1">
      <c r="A32" s="322" t="s">
        <v>11</v>
      </c>
      <c r="B32" s="323"/>
      <c r="C32" s="323"/>
      <c r="D32" s="323"/>
      <c r="E32" s="323"/>
      <c r="F32" s="323"/>
      <c r="G32" s="324"/>
    </row>
    <row r="33" spans="1:7" ht="18.75">
      <c r="A33" s="215" t="s">
        <v>499</v>
      </c>
      <c r="B33" s="216"/>
      <c r="C33" s="216"/>
      <c r="D33" s="216"/>
      <c r="E33" s="216"/>
      <c r="F33" s="45"/>
      <c r="G33" s="46"/>
    </row>
    <row r="34" spans="1:7" ht="15">
      <c r="A34" s="217" t="s">
        <v>497</v>
      </c>
      <c r="B34" s="49">
        <f>Background!B31</f>
        <v>0.9640740740740743</v>
      </c>
      <c r="C34" s="218" t="s">
        <v>20</v>
      </c>
      <c r="D34" s="288" t="s">
        <v>553</v>
      </c>
      <c r="E34" s="219"/>
      <c r="F34" s="59"/>
      <c r="G34" s="60"/>
    </row>
    <row r="35" spans="1:7" ht="17.25" thickBot="1">
      <c r="A35" s="217" t="s">
        <v>498</v>
      </c>
      <c r="B35" s="89">
        <f>Background!B32</f>
        <v>36.876054280629994</v>
      </c>
      <c r="C35" s="220" t="s">
        <v>64</v>
      </c>
      <c r="D35" s="221"/>
      <c r="E35" s="221"/>
      <c r="F35" s="40"/>
      <c r="G35" s="54"/>
    </row>
    <row r="36" spans="1:7" ht="16.5" thickBot="1">
      <c r="A36" s="295" t="s">
        <v>548</v>
      </c>
      <c r="B36" s="296"/>
      <c r="C36" s="296"/>
      <c r="D36" s="296"/>
      <c r="E36" s="296"/>
      <c r="F36" s="296"/>
      <c r="G36" s="297"/>
    </row>
    <row r="37" spans="1:7" ht="16.5" thickBot="1">
      <c r="A37" s="295" t="s">
        <v>547</v>
      </c>
      <c r="B37" s="296"/>
      <c r="C37" s="296"/>
      <c r="D37" s="296"/>
      <c r="E37" s="296"/>
      <c r="F37" s="296"/>
      <c r="G37" s="297"/>
    </row>
    <row r="38" spans="1:7" ht="18.75">
      <c r="A38" s="222" t="s">
        <v>500</v>
      </c>
      <c r="B38" s="77"/>
      <c r="C38" s="77"/>
      <c r="D38" s="85"/>
      <c r="E38" s="77"/>
      <c r="F38" s="77"/>
      <c r="G38" s="78"/>
    </row>
    <row r="39" spans="1:7" ht="16.5">
      <c r="A39" s="223" t="s">
        <v>501</v>
      </c>
      <c r="B39" s="230">
        <v>0.3</v>
      </c>
      <c r="C39" s="232" t="s">
        <v>32</v>
      </c>
      <c r="D39" s="86"/>
      <c r="E39" s="226" t="s">
        <v>536</v>
      </c>
      <c r="F39" s="12">
        <v>20</v>
      </c>
      <c r="G39" s="15" t="s">
        <v>68</v>
      </c>
    </row>
    <row r="40" spans="1:7" ht="16.5">
      <c r="A40" s="224" t="s">
        <v>502</v>
      </c>
      <c r="B40" s="12">
        <f>Background!B36</f>
        <v>0.3530911228689008</v>
      </c>
      <c r="C40" s="233" t="s">
        <v>13</v>
      </c>
      <c r="D40" s="330"/>
      <c r="E40" s="227" t="s">
        <v>507</v>
      </c>
      <c r="F40" s="230">
        <v>0.35</v>
      </c>
      <c r="G40" s="193" t="s">
        <v>13</v>
      </c>
    </row>
    <row r="41" spans="1:9" ht="16.5">
      <c r="A41" s="224" t="s">
        <v>503</v>
      </c>
      <c r="B41" s="231" t="s">
        <v>463</v>
      </c>
      <c r="C41" s="233"/>
      <c r="D41" s="330"/>
      <c r="E41" s="227" t="s">
        <v>508</v>
      </c>
      <c r="F41" s="235">
        <v>0.62</v>
      </c>
      <c r="G41" s="15" t="s">
        <v>16</v>
      </c>
      <c r="I41" s="202"/>
    </row>
    <row r="42" spans="1:9" ht="16.5">
      <c r="A42" s="224" t="s">
        <v>504</v>
      </c>
      <c r="B42" s="17">
        <f>Background!B38</f>
        <v>19.518421672264008</v>
      </c>
      <c r="C42" s="233" t="s">
        <v>17</v>
      </c>
      <c r="D42" s="330"/>
      <c r="E42" s="227" t="s">
        <v>509</v>
      </c>
      <c r="F42" s="125">
        <f>Background!F38</f>
        <v>0.1955766580674447</v>
      </c>
      <c r="G42" s="15" t="s">
        <v>87</v>
      </c>
      <c r="I42" s="202"/>
    </row>
    <row r="43" spans="1:7" ht="17.25" thickBot="1">
      <c r="A43" s="225" t="s">
        <v>505</v>
      </c>
      <c r="B43" s="126">
        <f>Background!B39</f>
        <v>7.12351155922044</v>
      </c>
      <c r="C43" s="234" t="s">
        <v>106</v>
      </c>
      <c r="D43" s="330"/>
      <c r="E43" s="227" t="s">
        <v>510</v>
      </c>
      <c r="F43" s="129">
        <f>Background!F39</f>
        <v>0.676983612023541</v>
      </c>
      <c r="G43" s="130" t="s">
        <v>87</v>
      </c>
    </row>
    <row r="44" spans="1:9" ht="17.25" thickBot="1">
      <c r="A44" s="225" t="s">
        <v>506</v>
      </c>
      <c r="B44" s="126">
        <f>Background!B40</f>
        <v>7.123511559220441</v>
      </c>
      <c r="C44" s="234" t="s">
        <v>17</v>
      </c>
      <c r="D44" s="330"/>
      <c r="E44" s="228" t="s">
        <v>540</v>
      </c>
      <c r="F44" s="49">
        <f>Background!F40</f>
        <v>0.614256014734622</v>
      </c>
      <c r="G44" s="130"/>
      <c r="I44" s="202"/>
    </row>
    <row r="45" spans="1:9" ht="16.5">
      <c r="A45" s="226" t="s">
        <v>537</v>
      </c>
      <c r="B45" s="199">
        <v>6</v>
      </c>
      <c r="C45" s="233" t="s">
        <v>458</v>
      </c>
      <c r="D45" s="191"/>
      <c r="E45" s="229" t="s">
        <v>541</v>
      </c>
      <c r="F45" s="12">
        <f>Background!F41</f>
        <v>0.8983328185025756</v>
      </c>
      <c r="G45" s="194"/>
      <c r="I45" s="202"/>
    </row>
    <row r="46" spans="1:7" ht="16.5">
      <c r="A46" s="226" t="s">
        <v>538</v>
      </c>
      <c r="B46" s="199">
        <v>0.26</v>
      </c>
      <c r="C46" s="233" t="s">
        <v>455</v>
      </c>
      <c r="D46" s="191"/>
      <c r="E46" s="197"/>
      <c r="F46" s="12"/>
      <c r="G46" s="194"/>
    </row>
    <row r="47" spans="1:7" ht="17.25" thickBot="1">
      <c r="A47" s="226" t="s">
        <v>539</v>
      </c>
      <c r="B47" s="199">
        <v>0.4</v>
      </c>
      <c r="C47" s="233" t="s">
        <v>455</v>
      </c>
      <c r="D47" s="192"/>
      <c r="E47" s="197"/>
      <c r="F47" s="12"/>
      <c r="G47" s="194"/>
    </row>
    <row r="48" spans="1:7" ht="16.5" thickBot="1">
      <c r="A48" s="295" t="s">
        <v>549</v>
      </c>
      <c r="B48" s="296"/>
      <c r="C48" s="296"/>
      <c r="D48" s="296"/>
      <c r="E48" s="296"/>
      <c r="F48" s="296"/>
      <c r="G48" s="297"/>
    </row>
    <row r="49" spans="1:7" ht="18.75">
      <c r="A49" s="325" t="s">
        <v>511</v>
      </c>
      <c r="B49" s="334"/>
      <c r="C49" s="334"/>
      <c r="D49" s="334"/>
      <c r="E49" s="334"/>
      <c r="F49" s="334"/>
      <c r="G49" s="335"/>
    </row>
    <row r="50" spans="1:7" ht="17.25" thickBot="1">
      <c r="A50" s="236" t="s">
        <v>512</v>
      </c>
      <c r="B50" s="106">
        <f>Background!B46</f>
        <v>0.012577726775372956</v>
      </c>
      <c r="C50" s="237" t="s">
        <v>515</v>
      </c>
      <c r="D50" s="238">
        <f>Background!D46</f>
        <v>3</v>
      </c>
      <c r="E50" s="239" t="s">
        <v>513</v>
      </c>
      <c r="F50" s="269">
        <v>2000</v>
      </c>
      <c r="G50" s="240" t="s">
        <v>28</v>
      </c>
    </row>
    <row r="51" spans="1:7" ht="17.25" thickBot="1">
      <c r="A51" s="241"/>
      <c r="B51" s="61"/>
      <c r="C51" s="242"/>
      <c r="D51" s="243"/>
      <c r="E51" s="244" t="s">
        <v>514</v>
      </c>
      <c r="F51" s="12">
        <f>Background!F47</f>
        <v>25.475882236883002</v>
      </c>
      <c r="G51" s="240" t="s">
        <v>28</v>
      </c>
    </row>
    <row r="52" spans="1:9" ht="17.25" thickBot="1">
      <c r="A52" s="245"/>
      <c r="B52" s="55"/>
      <c r="C52" s="246"/>
      <c r="D52" s="247"/>
      <c r="E52" s="247"/>
      <c r="F52" s="247"/>
      <c r="G52" s="248"/>
      <c r="I52" s="202"/>
    </row>
    <row r="53" spans="1:7" ht="18.75">
      <c r="A53" s="325" t="s">
        <v>517</v>
      </c>
      <c r="B53" s="334"/>
      <c r="C53" s="334"/>
      <c r="D53" s="334"/>
      <c r="E53" s="334"/>
      <c r="F53" s="334"/>
      <c r="G53" s="335"/>
    </row>
    <row r="54" spans="1:7" ht="17.25" thickBot="1">
      <c r="A54" s="224" t="s">
        <v>518</v>
      </c>
      <c r="B54" s="106">
        <f>Background!B50</f>
        <v>0.008006191454724988</v>
      </c>
      <c r="C54" s="237" t="s">
        <v>516</v>
      </c>
      <c r="D54" s="238">
        <f>Background!D50</f>
        <v>3</v>
      </c>
      <c r="E54" s="249" t="s">
        <v>519</v>
      </c>
      <c r="F54" s="96">
        <f>Background!F50</f>
        <v>16.21634770011649</v>
      </c>
      <c r="G54" s="240" t="s">
        <v>28</v>
      </c>
    </row>
    <row r="55" spans="1:7" ht="17.25" thickBot="1">
      <c r="A55" s="241"/>
      <c r="B55" s="61"/>
      <c r="C55" s="242"/>
      <c r="D55" s="243"/>
      <c r="E55" s="250" t="s">
        <v>520</v>
      </c>
      <c r="F55" s="96">
        <f>Background!F51</f>
        <v>9.259534536766513</v>
      </c>
      <c r="G55" s="240" t="s">
        <v>28</v>
      </c>
    </row>
    <row r="56" spans="1:9" ht="16.5" thickBot="1">
      <c r="A56" s="295" t="s">
        <v>550</v>
      </c>
      <c r="B56" s="296"/>
      <c r="C56" s="296"/>
      <c r="D56" s="296"/>
      <c r="E56" s="296"/>
      <c r="F56" s="296"/>
      <c r="G56" s="297"/>
      <c r="I56" s="202"/>
    </row>
    <row r="57" spans="1:7" ht="18.75">
      <c r="A57" s="325" t="s">
        <v>521</v>
      </c>
      <c r="B57" s="326"/>
      <c r="C57" s="326"/>
      <c r="D57" s="326"/>
      <c r="E57" s="326"/>
      <c r="F57" s="326"/>
      <c r="G57" s="327"/>
    </row>
    <row r="58" spans="1:7" ht="16.5">
      <c r="A58" s="251" t="s">
        <v>522</v>
      </c>
      <c r="B58" s="270">
        <v>80</v>
      </c>
      <c r="C58" s="252" t="s">
        <v>27</v>
      </c>
      <c r="D58" s="253"/>
      <c r="E58" s="250" t="s">
        <v>524</v>
      </c>
      <c r="F58" s="17">
        <f>Background!F54</f>
        <v>4.537033038801382</v>
      </c>
      <c r="G58" s="240" t="s">
        <v>61</v>
      </c>
    </row>
    <row r="59" spans="1:7" ht="17.25" thickBot="1">
      <c r="A59" s="225" t="s">
        <v>523</v>
      </c>
      <c r="B59" s="271">
        <v>2</v>
      </c>
      <c r="C59" s="240" t="s">
        <v>28</v>
      </c>
      <c r="D59" s="243"/>
      <c r="E59" s="243"/>
      <c r="F59" s="243"/>
      <c r="G59" s="254"/>
    </row>
    <row r="60" spans="1:7" ht="17.25" thickBot="1">
      <c r="A60" s="245"/>
      <c r="B60" s="55"/>
      <c r="C60" s="246"/>
      <c r="D60" s="247"/>
      <c r="E60" s="247"/>
      <c r="F60" s="247"/>
      <c r="G60" s="248"/>
    </row>
    <row r="61" spans="1:7" ht="18.75">
      <c r="A61" s="325" t="s">
        <v>545</v>
      </c>
      <c r="B61" s="326"/>
      <c r="C61" s="326"/>
      <c r="D61" s="326"/>
      <c r="E61" s="326"/>
      <c r="F61" s="326"/>
      <c r="G61" s="327"/>
    </row>
    <row r="62" spans="1:7" ht="15.75" thickBot="1">
      <c r="A62" s="224" t="s">
        <v>525</v>
      </c>
      <c r="B62" s="272">
        <v>500</v>
      </c>
      <c r="C62" s="255" t="s">
        <v>62</v>
      </c>
      <c r="D62" s="319"/>
      <c r="E62" s="243"/>
      <c r="F62" s="243"/>
      <c r="G62" s="243"/>
    </row>
    <row r="63" spans="1:7" ht="16.5">
      <c r="A63" s="236" t="s">
        <v>526</v>
      </c>
      <c r="B63" s="12">
        <f>Background!B59</f>
        <v>2.530315789473684</v>
      </c>
      <c r="C63" s="252" t="s">
        <v>23</v>
      </c>
      <c r="D63" s="320"/>
      <c r="E63" s="226" t="s">
        <v>528</v>
      </c>
      <c r="F63" s="269">
        <v>2</v>
      </c>
      <c r="G63" s="240" t="s">
        <v>23</v>
      </c>
    </row>
    <row r="64" spans="1:7" ht="17.25" thickBot="1">
      <c r="A64" s="256" t="s">
        <v>527</v>
      </c>
      <c r="B64" s="49">
        <f>Background!B60</f>
        <v>35.1125</v>
      </c>
      <c r="C64" s="220" t="s">
        <v>64</v>
      </c>
      <c r="D64" s="321"/>
      <c r="E64" s="257" t="s">
        <v>529</v>
      </c>
      <c r="F64" s="258"/>
      <c r="G64" s="259"/>
    </row>
    <row r="65" spans="1:7" ht="16.5" thickBot="1">
      <c r="A65" s="295" t="s">
        <v>551</v>
      </c>
      <c r="B65" s="296"/>
      <c r="C65" s="296"/>
      <c r="D65" s="296"/>
      <c r="E65" s="296"/>
      <c r="F65" s="296"/>
      <c r="G65" s="297"/>
    </row>
    <row r="66" spans="1:7" ht="18.75">
      <c r="A66" s="325" t="s">
        <v>546</v>
      </c>
      <c r="B66" s="326"/>
      <c r="C66" s="326"/>
      <c r="D66" s="326"/>
      <c r="E66" s="326"/>
      <c r="F66" s="326"/>
      <c r="G66" s="327"/>
    </row>
    <row r="67" spans="1:7" ht="16.5">
      <c r="A67" s="251" t="s">
        <v>530</v>
      </c>
      <c r="B67" s="105">
        <f>Background!B63</f>
        <v>0.175</v>
      </c>
      <c r="C67" s="252"/>
      <c r="D67" s="328"/>
      <c r="E67" s="226" t="s">
        <v>531</v>
      </c>
      <c r="F67" s="270">
        <v>47</v>
      </c>
      <c r="G67" s="240" t="s">
        <v>28</v>
      </c>
    </row>
    <row r="68" spans="1:7" ht="17.25" thickBot="1">
      <c r="A68" s="241"/>
      <c r="B68" s="260"/>
      <c r="C68" s="242"/>
      <c r="D68" s="329"/>
      <c r="E68" s="261" t="s">
        <v>532</v>
      </c>
      <c r="F68" s="19">
        <f>Background!F64</f>
        <v>9.96969696969697</v>
      </c>
      <c r="G68" s="262" t="s">
        <v>28</v>
      </c>
    </row>
    <row r="69" spans="1:7" ht="15.75" thickBot="1">
      <c r="A69" s="331"/>
      <c r="B69" s="332"/>
      <c r="C69" s="332"/>
      <c r="D69" s="332"/>
      <c r="E69" s="332"/>
      <c r="F69" s="332"/>
      <c r="G69" s="333"/>
    </row>
    <row r="70" spans="1:7" ht="18.75">
      <c r="A70" s="263" t="s">
        <v>535</v>
      </c>
      <c r="B70" s="264"/>
      <c r="C70" s="264"/>
      <c r="D70" s="264"/>
      <c r="E70" s="264"/>
      <c r="F70" s="264"/>
      <c r="G70" s="265"/>
    </row>
    <row r="71" spans="1:7" ht="17.25" thickBot="1">
      <c r="A71" s="225" t="s">
        <v>533</v>
      </c>
      <c r="B71" s="19">
        <f>Background!B67</f>
        <v>27.428571428571427</v>
      </c>
      <c r="C71" s="242" t="s">
        <v>3</v>
      </c>
      <c r="D71" s="266"/>
      <c r="E71" s="267" t="s">
        <v>534</v>
      </c>
      <c r="F71" s="19">
        <f>Background!F67</f>
        <v>1061.03297204524</v>
      </c>
      <c r="G71" s="268" t="s">
        <v>29</v>
      </c>
    </row>
  </sheetData>
  <sheetProtection/>
  <mergeCells count="24">
    <mergeCell ref="A69:G69"/>
    <mergeCell ref="A65:G65"/>
    <mergeCell ref="A53:G53"/>
    <mergeCell ref="A66:G66"/>
    <mergeCell ref="A56:G56"/>
    <mergeCell ref="A49:G49"/>
    <mergeCell ref="A25:G25"/>
    <mergeCell ref="D62:D64"/>
    <mergeCell ref="A32:G32"/>
    <mergeCell ref="A57:G57"/>
    <mergeCell ref="A36:G36"/>
    <mergeCell ref="D67:D68"/>
    <mergeCell ref="A61:G61"/>
    <mergeCell ref="D40:D44"/>
    <mergeCell ref="A5:G6"/>
    <mergeCell ref="A19:G19"/>
    <mergeCell ref="A37:G37"/>
    <mergeCell ref="A48:G48"/>
    <mergeCell ref="C21:D21"/>
    <mergeCell ref="A26:G26"/>
    <mergeCell ref="A8:G8"/>
    <mergeCell ref="A9:C9"/>
    <mergeCell ref="E9:G9"/>
    <mergeCell ref="A20:G2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Visio.Drawing.11" shapeId="2621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28">
      <selection activeCell="F40" sqref="F40"/>
    </sheetView>
  </sheetViews>
  <sheetFormatPr defaultColWidth="9.140625" defaultRowHeight="15"/>
  <cols>
    <col min="1" max="1" width="34.140625" style="0" customWidth="1"/>
    <col min="2" max="2" width="13.57421875" style="0" customWidth="1"/>
    <col min="3" max="3" width="13.00390625" style="0" customWidth="1"/>
    <col min="4" max="4" width="10.00390625" style="0" customWidth="1"/>
    <col min="5" max="5" width="26.00390625" style="0" customWidth="1"/>
    <col min="6" max="6" width="10.7109375" style="0" bestFit="1" customWidth="1"/>
  </cols>
  <sheetData>
    <row r="1" spans="1:7" ht="26.25" thickBot="1">
      <c r="A1" s="369" t="s">
        <v>93</v>
      </c>
      <c r="B1" s="370"/>
      <c r="C1" s="370"/>
      <c r="D1" s="370"/>
      <c r="E1" s="370"/>
      <c r="F1" s="370"/>
      <c r="G1" s="371"/>
    </row>
    <row r="2" spans="1:7" ht="15.75" thickBot="1">
      <c r="A2" s="372"/>
      <c r="B2" s="373"/>
      <c r="C2" s="373"/>
      <c r="D2" s="373"/>
      <c r="E2" s="373"/>
      <c r="F2" s="373"/>
      <c r="G2" s="374"/>
    </row>
    <row r="3" spans="1:7" ht="15">
      <c r="A3" s="375" t="s">
        <v>67</v>
      </c>
      <c r="B3" s="376"/>
      <c r="C3" s="376"/>
      <c r="D3" s="376"/>
      <c r="E3" s="376"/>
      <c r="F3" s="376"/>
      <c r="G3" s="377"/>
    </row>
    <row r="4" spans="1:7" ht="15.75" thickBot="1">
      <c r="A4" s="378"/>
      <c r="B4" s="379"/>
      <c r="C4" s="379"/>
      <c r="D4" s="379"/>
      <c r="E4" s="379"/>
      <c r="F4" s="379"/>
      <c r="G4" s="380"/>
    </row>
    <row r="5" spans="1:7" ht="15.75" thickBot="1">
      <c r="A5" s="381"/>
      <c r="B5" s="382"/>
      <c r="C5" s="382"/>
      <c r="D5" s="383"/>
      <c r="E5" s="382"/>
      <c r="F5" s="382"/>
      <c r="G5" s="384"/>
    </row>
    <row r="6" spans="1:7" ht="15">
      <c r="A6" s="357" t="s">
        <v>0</v>
      </c>
      <c r="B6" s="358"/>
      <c r="C6" s="359"/>
      <c r="D6" s="74"/>
      <c r="E6" s="360" t="s">
        <v>1</v>
      </c>
      <c r="F6" s="358"/>
      <c r="G6" s="361"/>
    </row>
    <row r="7" spans="1:7" ht="16.5">
      <c r="A7" s="4" t="s">
        <v>37</v>
      </c>
      <c r="B7" s="34">
        <f>Vac_min</f>
        <v>85</v>
      </c>
      <c r="C7" s="1" t="s">
        <v>2</v>
      </c>
      <c r="D7" s="3"/>
      <c r="E7" s="2" t="s">
        <v>40</v>
      </c>
      <c r="F7" s="8">
        <f>Calculator!F10</f>
        <v>20</v>
      </c>
      <c r="G7" s="5" t="s">
        <v>3</v>
      </c>
    </row>
    <row r="8" spans="1:7" ht="16.5">
      <c r="A8" s="4" t="s">
        <v>38</v>
      </c>
      <c r="B8" s="34">
        <f>Vac_max</f>
        <v>265</v>
      </c>
      <c r="C8" s="1" t="s">
        <v>2</v>
      </c>
      <c r="D8" s="3"/>
      <c r="E8" s="2" t="s">
        <v>41</v>
      </c>
      <c r="F8" s="8">
        <f>Calculator!F11</f>
        <v>300</v>
      </c>
      <c r="G8" s="5" t="s">
        <v>4</v>
      </c>
    </row>
    <row r="9" spans="1:7" ht="16.5">
      <c r="A9" s="4" t="s">
        <v>39</v>
      </c>
      <c r="B9" s="34">
        <f>Calculator!B12</f>
        <v>50</v>
      </c>
      <c r="C9" s="1" t="s">
        <v>5</v>
      </c>
      <c r="D9" s="3"/>
      <c r="E9" s="2" t="s">
        <v>42</v>
      </c>
      <c r="F9" s="8">
        <f>Calculator!F12</f>
        <v>1</v>
      </c>
      <c r="G9" s="5" t="s">
        <v>6</v>
      </c>
    </row>
    <row r="10" spans="1:7" ht="16.5">
      <c r="A10" s="119" t="s">
        <v>98</v>
      </c>
      <c r="B10" s="34">
        <f>fsw</f>
        <v>70</v>
      </c>
      <c r="C10" s="1" t="s">
        <v>7</v>
      </c>
      <c r="D10" s="3"/>
      <c r="E10" s="2" t="s">
        <v>43</v>
      </c>
      <c r="F10" s="8">
        <f>Calculator!F13</f>
        <v>1</v>
      </c>
      <c r="G10" s="5" t="s">
        <v>6</v>
      </c>
    </row>
    <row r="11" spans="1:7" ht="16.5">
      <c r="A11" s="4" t="s">
        <v>50</v>
      </c>
      <c r="B11" s="34">
        <f>Calculator!B14</f>
        <v>88</v>
      </c>
      <c r="C11" s="1" t="s">
        <v>8</v>
      </c>
      <c r="D11" s="3"/>
      <c r="E11" s="2" t="s">
        <v>44</v>
      </c>
      <c r="F11" s="32">
        <f>F7*F9</f>
        <v>20</v>
      </c>
      <c r="G11" s="6" t="s">
        <v>3</v>
      </c>
    </row>
    <row r="12" spans="1:7" ht="16.5">
      <c r="A12" s="65" t="s">
        <v>10</v>
      </c>
      <c r="B12" s="73">
        <f>Calculator!B15</f>
        <v>0.95</v>
      </c>
      <c r="C12" s="1"/>
      <c r="D12" s="3"/>
      <c r="E12" s="2" t="s">
        <v>45</v>
      </c>
      <c r="F12" s="32">
        <f>F8*F10</f>
        <v>300</v>
      </c>
      <c r="G12" s="6" t="s">
        <v>4</v>
      </c>
    </row>
    <row r="13" spans="1:7" ht="16.5">
      <c r="A13" s="4"/>
      <c r="B13" s="34"/>
      <c r="C13" s="1"/>
      <c r="D13" s="3"/>
      <c r="E13" s="2" t="s">
        <v>46</v>
      </c>
      <c r="F13" s="32">
        <f>F11*F12/1000</f>
        <v>6</v>
      </c>
      <c r="G13" s="6" t="s">
        <v>9</v>
      </c>
    </row>
    <row r="14" spans="1:7" ht="16.5">
      <c r="A14" s="4"/>
      <c r="B14" s="34"/>
      <c r="C14" s="62"/>
      <c r="D14" s="3"/>
      <c r="E14" s="63" t="s">
        <v>47</v>
      </c>
      <c r="F14" s="136">
        <f>Calculator!F17</f>
        <v>180</v>
      </c>
      <c r="G14" s="64" t="s">
        <v>48</v>
      </c>
    </row>
    <row r="15" spans="1:7" ht="17.25" thickBot="1">
      <c r="A15" s="36"/>
      <c r="B15" s="33"/>
      <c r="C15" s="38"/>
      <c r="D15" s="75"/>
      <c r="E15" s="35" t="s">
        <v>49</v>
      </c>
      <c r="F15" s="68">
        <f>Calculator!F18</f>
        <v>2</v>
      </c>
      <c r="G15" s="7" t="s">
        <v>33</v>
      </c>
    </row>
    <row r="16" spans="1:7" ht="15.75" thickBot="1">
      <c r="A16" s="362" t="s">
        <v>11</v>
      </c>
      <c r="B16" s="363"/>
      <c r="C16" s="363"/>
      <c r="D16" s="363"/>
      <c r="E16" s="363"/>
      <c r="F16" s="363"/>
      <c r="G16" s="364"/>
    </row>
    <row r="17" spans="1:7" ht="15">
      <c r="A17" s="365" t="s">
        <v>31</v>
      </c>
      <c r="B17" s="366"/>
      <c r="C17" s="366"/>
      <c r="D17" s="367"/>
      <c r="E17" s="366"/>
      <c r="F17" s="366"/>
      <c r="G17" s="368"/>
    </row>
    <row r="18" spans="1:7" ht="15">
      <c r="A18" s="79" t="s">
        <v>57</v>
      </c>
      <c r="B18" s="113">
        <f>ηt</f>
        <v>0.95</v>
      </c>
      <c r="C18" s="298"/>
      <c r="D18" s="299"/>
      <c r="E18" s="115" t="s">
        <v>95</v>
      </c>
      <c r="F18" s="123">
        <f>(1/Kp/Kc-1)*B24*ηt/Vout</f>
        <v>7.136281250000001</v>
      </c>
      <c r="G18" s="120"/>
    </row>
    <row r="19" spans="1:7" ht="15">
      <c r="A19" s="79" t="s">
        <v>94</v>
      </c>
      <c r="B19" s="137">
        <f>Kp</f>
        <v>1</v>
      </c>
      <c r="C19" s="115" t="s">
        <v>107</v>
      </c>
      <c r="D19" s="112"/>
      <c r="E19" s="115" t="s">
        <v>96</v>
      </c>
      <c r="F19" s="124">
        <f>Nt</f>
        <v>2.74</v>
      </c>
      <c r="G19" s="120"/>
    </row>
    <row r="20" spans="1:8" ht="15">
      <c r="A20" s="118" t="s">
        <v>99</v>
      </c>
      <c r="B20" s="122">
        <v>0.4444444444444444</v>
      </c>
      <c r="C20" s="114" t="s">
        <v>69</v>
      </c>
      <c r="D20" s="112"/>
      <c r="E20" s="118" t="s">
        <v>97</v>
      </c>
      <c r="F20" s="110">
        <f>Kp</f>
        <v>1</v>
      </c>
      <c r="G20" s="120" t="s">
        <v>68</v>
      </c>
      <c r="H20" s="121"/>
    </row>
    <row r="21" spans="1:7" ht="15">
      <c r="A21" s="93" t="s">
        <v>73</v>
      </c>
      <c r="B21" s="111">
        <f>Kp*Kc</f>
        <v>0.4444444444444444</v>
      </c>
      <c r="C21" s="114" t="s">
        <v>69</v>
      </c>
      <c r="D21" s="117"/>
      <c r="E21" s="115"/>
      <c r="F21" s="116"/>
      <c r="G21" s="120"/>
    </row>
    <row r="22" spans="1:7" ht="17.25" customHeight="1" thickBot="1">
      <c r="A22" s="316"/>
      <c r="B22" s="317"/>
      <c r="C22" s="317"/>
      <c r="D22" s="317"/>
      <c r="E22" s="317"/>
      <c r="F22" s="317"/>
      <c r="G22" s="318"/>
    </row>
    <row r="23" spans="1:7" ht="15">
      <c r="A23" s="353" t="s">
        <v>12</v>
      </c>
      <c r="B23" s="354"/>
      <c r="C23" s="354"/>
      <c r="D23" s="355"/>
      <c r="E23" s="354"/>
      <c r="F23" s="354"/>
      <c r="G23" s="356"/>
    </row>
    <row r="24" spans="1:7" ht="16.5">
      <c r="A24" s="37" t="s">
        <v>52</v>
      </c>
      <c r="B24" s="107">
        <f>1.414*Vac_min</f>
        <v>120.19</v>
      </c>
      <c r="C24" s="132" t="s">
        <v>3</v>
      </c>
      <c r="D24" s="80"/>
      <c r="E24" s="134" t="s">
        <v>53</v>
      </c>
      <c r="F24" s="107">
        <f>1.414*Vac_max</f>
        <v>374.71</v>
      </c>
      <c r="G24" s="10" t="s">
        <v>3</v>
      </c>
    </row>
    <row r="25" spans="1:7" ht="16.5">
      <c r="A25" s="37" t="s">
        <v>54</v>
      </c>
      <c r="B25" s="107">
        <f>Vdc_max+Vout*Nt+100</f>
        <v>529.51</v>
      </c>
      <c r="C25" s="132" t="s">
        <v>3</v>
      </c>
      <c r="D25" s="47"/>
      <c r="E25" s="135" t="s">
        <v>55</v>
      </c>
      <c r="F25" s="107">
        <f>F24/Nt+Vout+10</f>
        <v>166.75547445255472</v>
      </c>
      <c r="G25" s="10" t="s">
        <v>3</v>
      </c>
    </row>
    <row r="26" spans="1:7" ht="17.25" thickBot="1">
      <c r="A26" s="92" t="s">
        <v>70</v>
      </c>
      <c r="B26" s="108">
        <f>Vcs_ref/Rcs</f>
        <v>1.037264694583173</v>
      </c>
      <c r="C26" s="133" t="s">
        <v>65</v>
      </c>
      <c r="D26" s="47"/>
      <c r="E26" s="135" t="s">
        <v>72</v>
      </c>
      <c r="F26" s="107">
        <f>Ipk*ηt*Nt</f>
        <v>2.6999999999999993</v>
      </c>
      <c r="G26" s="9" t="s">
        <v>65</v>
      </c>
    </row>
    <row r="27" spans="1:7" ht="17.25" thickBot="1">
      <c r="A27" s="92" t="s">
        <v>71</v>
      </c>
      <c r="B27" s="87">
        <f>SQRT(Nt*Vout*Kp*Kc/6/Rcs^2/Vdc_min/ηt)</f>
        <v>0.1955766580674447</v>
      </c>
      <c r="C27" s="133" t="s">
        <v>65</v>
      </c>
      <c r="D27" s="47"/>
      <c r="E27" s="135" t="s">
        <v>83</v>
      </c>
      <c r="F27" s="109">
        <f>Iout/1000</f>
        <v>0.3</v>
      </c>
      <c r="G27" s="9" t="s">
        <v>65</v>
      </c>
    </row>
    <row r="28" spans="1:7" ht="17.25" thickBot="1">
      <c r="A28" s="92"/>
      <c r="B28" s="87"/>
      <c r="C28" s="133"/>
      <c r="D28" s="81"/>
      <c r="E28" s="135" t="s">
        <v>86</v>
      </c>
      <c r="F28" s="109">
        <f>SQRT(4*Kp*Kc/9/3.142)*ηt*Nt/Rcs</f>
        <v>0.676983612023541</v>
      </c>
      <c r="G28" s="9" t="s">
        <v>65</v>
      </c>
    </row>
    <row r="29" spans="1:7" ht="15.75" thickBot="1">
      <c r="A29" s="322" t="s">
        <v>11</v>
      </c>
      <c r="B29" s="323"/>
      <c r="C29" s="323"/>
      <c r="D29" s="323"/>
      <c r="E29" s="323"/>
      <c r="F29" s="323"/>
      <c r="G29" s="324"/>
    </row>
    <row r="30" spans="1:7" ht="15">
      <c r="A30" s="44" t="s">
        <v>18</v>
      </c>
      <c r="B30" s="45"/>
      <c r="C30" s="45"/>
      <c r="D30" s="45"/>
      <c r="E30" s="45"/>
      <c r="F30" s="45"/>
      <c r="G30" s="46"/>
    </row>
    <row r="31" spans="1:7" ht="15">
      <c r="A31" s="48" t="s">
        <v>19</v>
      </c>
      <c r="B31" s="49">
        <f>Nt*B18*4/9*Kp^2/(Iout/1000)/4</f>
        <v>0.9640740740740743</v>
      </c>
      <c r="C31" s="58" t="s">
        <v>20</v>
      </c>
      <c r="D31" s="101" t="s">
        <v>84</v>
      </c>
      <c r="E31" s="59"/>
      <c r="F31" s="59"/>
      <c r="G31" s="60"/>
    </row>
    <row r="32" spans="1:7" ht="17.25" thickBot="1">
      <c r="A32" s="48" t="s">
        <v>21</v>
      </c>
      <c r="B32" s="89">
        <f>Rcs*Iprms^2*1000</f>
        <v>36.876054280629994</v>
      </c>
      <c r="C32" s="50" t="s">
        <v>64</v>
      </c>
      <c r="D32" s="40"/>
      <c r="E32" s="40"/>
      <c r="F32" s="40"/>
      <c r="G32" s="54"/>
    </row>
    <row r="33" spans="1:7" ht="15.75" thickBot="1">
      <c r="A33" s="344"/>
      <c r="B33" s="345"/>
      <c r="C33" s="345"/>
      <c r="D33" s="345"/>
      <c r="E33" s="345"/>
      <c r="F33" s="345"/>
      <c r="G33" s="346"/>
    </row>
    <row r="34" spans="1:7" ht="15">
      <c r="A34" s="91" t="s">
        <v>66</v>
      </c>
      <c r="B34" s="77"/>
      <c r="C34" s="77"/>
      <c r="D34" s="85"/>
      <c r="E34" s="77"/>
      <c r="F34" s="77"/>
      <c r="G34" s="78"/>
    </row>
    <row r="35" spans="1:7" ht="17.25" thickBot="1">
      <c r="A35" s="83" t="s">
        <v>51</v>
      </c>
      <c r="B35" s="76">
        <f>Bmax</f>
        <v>0.3</v>
      </c>
      <c r="C35" s="94" t="s">
        <v>32</v>
      </c>
      <c r="D35" s="86"/>
      <c r="E35" s="190" t="s">
        <v>456</v>
      </c>
      <c r="F35" s="22">
        <f>Calculator!F39</f>
        <v>20</v>
      </c>
      <c r="G35" s="23" t="s">
        <v>68</v>
      </c>
    </row>
    <row r="36" spans="1:7" ht="16.5">
      <c r="A36" s="11" t="s">
        <v>100</v>
      </c>
      <c r="B36" s="12">
        <f>Nt*Kc*Rcs*Vout/fsw/ηt</f>
        <v>0.3530911228689008</v>
      </c>
      <c r="C36" s="82" t="s">
        <v>13</v>
      </c>
      <c r="D36" s="330"/>
      <c r="E36" s="84" t="s">
        <v>14</v>
      </c>
      <c r="F36" s="14">
        <f>Lp1</f>
        <v>0.35</v>
      </c>
      <c r="G36" s="15" t="s">
        <v>13</v>
      </c>
    </row>
    <row r="37" spans="1:7" ht="16.5">
      <c r="A37" s="11" t="s">
        <v>101</v>
      </c>
      <c r="B37" s="14" t="str">
        <f>Calculator!B41</f>
        <v>EDR2610</v>
      </c>
      <c r="C37" s="82"/>
      <c r="D37" s="330"/>
      <c r="E37" s="84" t="s">
        <v>15</v>
      </c>
      <c r="F37" s="16">
        <f>Calculator!F41</f>
        <v>0.62</v>
      </c>
      <c r="G37" s="15" t="s">
        <v>16</v>
      </c>
    </row>
    <row r="38" spans="1:7" ht="16.5">
      <c r="A38" s="95" t="s">
        <v>102</v>
      </c>
      <c r="B38" s="17">
        <f>Lp1*0.001*Ipk/(F37*0.0001)/Bmax</f>
        <v>19.518421672264008</v>
      </c>
      <c r="C38" s="82" t="s">
        <v>17</v>
      </c>
      <c r="D38" s="330"/>
      <c r="E38" s="102" t="s">
        <v>85</v>
      </c>
      <c r="F38" s="125">
        <f>Iprms</f>
        <v>0.1955766580674447</v>
      </c>
      <c r="G38" s="15" t="s">
        <v>87</v>
      </c>
    </row>
    <row r="39" spans="1:7" ht="16.5">
      <c r="A39" s="104" t="s">
        <v>103</v>
      </c>
      <c r="B39" s="126">
        <f>Np/Nt</f>
        <v>7.12351155922044</v>
      </c>
      <c r="C39" s="127" t="s">
        <v>106</v>
      </c>
      <c r="D39" s="330"/>
      <c r="E39" s="128" t="s">
        <v>105</v>
      </c>
      <c r="F39" s="129">
        <f>Isrms</f>
        <v>0.676983612023541</v>
      </c>
      <c r="G39" s="130" t="s">
        <v>87</v>
      </c>
    </row>
    <row r="40" spans="1:7" ht="16.5">
      <c r="A40" s="48" t="s">
        <v>104</v>
      </c>
      <c r="B40" s="126">
        <f>Ns*F35/Vout</f>
        <v>7.123511559220441</v>
      </c>
      <c r="C40" s="127" t="s">
        <v>17</v>
      </c>
      <c r="D40" s="330"/>
      <c r="E40" s="196" t="s">
        <v>459</v>
      </c>
      <c r="F40" s="49">
        <f>(2*SQRT(F38/3.14/B41)/B42)^2</f>
        <v>0.614256014734622</v>
      </c>
      <c r="G40" s="130"/>
    </row>
    <row r="41" spans="1:7" ht="16.5">
      <c r="A41" s="195" t="s">
        <v>457</v>
      </c>
      <c r="B41" s="12">
        <f>Calculator!B45</f>
        <v>6</v>
      </c>
      <c r="C41" s="82" t="s">
        <v>458</v>
      </c>
      <c r="D41" s="191"/>
      <c r="E41" s="197" t="s">
        <v>460</v>
      </c>
      <c r="F41" s="198">
        <f>(2*SQRT(F39/3.14/B41)/B43)^2</f>
        <v>0.8983328185025756</v>
      </c>
      <c r="G41" s="194"/>
    </row>
    <row r="42" spans="1:7" ht="16.5">
      <c r="A42" s="195" t="s">
        <v>462</v>
      </c>
      <c r="B42" s="12">
        <f>Calculator!B46</f>
        <v>0.26</v>
      </c>
      <c r="C42" s="82" t="s">
        <v>455</v>
      </c>
      <c r="D42" s="191"/>
      <c r="E42" s="197"/>
      <c r="F42" s="12"/>
      <c r="G42" s="194"/>
    </row>
    <row r="43" spans="1:7" ht="16.5">
      <c r="A43" s="195" t="s">
        <v>461</v>
      </c>
      <c r="B43" s="12">
        <f>Calculator!B47</f>
        <v>0.4</v>
      </c>
      <c r="C43" s="82" t="s">
        <v>455</v>
      </c>
      <c r="D43" s="192"/>
      <c r="E43" s="197"/>
      <c r="F43" s="12"/>
      <c r="G43" s="194"/>
    </row>
    <row r="44" spans="1:7" ht="17.25" thickBot="1">
      <c r="A44" s="24"/>
      <c r="B44" s="25"/>
      <c r="C44" s="26"/>
      <c r="D44" s="27"/>
      <c r="E44" s="27"/>
      <c r="F44" s="25"/>
      <c r="G44" s="28"/>
    </row>
    <row r="45" spans="1:7" ht="15">
      <c r="A45" s="350" t="s">
        <v>60</v>
      </c>
      <c r="B45" s="351"/>
      <c r="C45" s="351"/>
      <c r="D45" s="351"/>
      <c r="E45" s="351"/>
      <c r="F45" s="351"/>
      <c r="G45" s="352"/>
    </row>
    <row r="46" spans="1:7" ht="17.25" thickBot="1">
      <c r="A46" s="95" t="s">
        <v>76</v>
      </c>
      <c r="B46" s="106">
        <f>D46*3.142/F24/2</f>
        <v>0.012577726775372956</v>
      </c>
      <c r="C46" s="90" t="s">
        <v>74</v>
      </c>
      <c r="D46" s="131">
        <f>IF(B19&gt;1,3/B19,3)</f>
        <v>3</v>
      </c>
      <c r="E46" s="97" t="s">
        <v>81</v>
      </c>
      <c r="F46" s="88">
        <f>Calculator!F50</f>
        <v>2000</v>
      </c>
      <c r="G46" s="15" t="s">
        <v>28</v>
      </c>
    </row>
    <row r="47" spans="1:7" ht="17.25" thickBot="1">
      <c r="A47" s="18"/>
      <c r="B47" s="61"/>
      <c r="C47" s="20"/>
      <c r="D47" s="52"/>
      <c r="E47" s="98" t="s">
        <v>79</v>
      </c>
      <c r="F47" s="12">
        <f>B46*F46/(1-B46)</f>
        <v>25.475882236883002</v>
      </c>
      <c r="G47" s="15" t="s">
        <v>28</v>
      </c>
    </row>
    <row r="48" spans="1:7" ht="17.25" thickBot="1">
      <c r="A48" s="24"/>
      <c r="B48" s="55"/>
      <c r="C48" s="26"/>
      <c r="D48" s="56"/>
      <c r="E48" s="56"/>
      <c r="F48" s="56"/>
      <c r="G48" s="57"/>
    </row>
    <row r="49" spans="1:7" ht="15">
      <c r="A49" s="350" t="s">
        <v>59</v>
      </c>
      <c r="B49" s="351"/>
      <c r="C49" s="351"/>
      <c r="D49" s="351"/>
      <c r="E49" s="351"/>
      <c r="F49" s="351"/>
      <c r="G49" s="352"/>
    </row>
    <row r="50" spans="1:7" ht="17.25" thickBot="1">
      <c r="A50" s="11" t="s">
        <v>34</v>
      </c>
      <c r="B50" s="106">
        <f>D50/F24</f>
        <v>0.008006191454724988</v>
      </c>
      <c r="C50" s="90" t="s">
        <v>75</v>
      </c>
      <c r="D50" s="131">
        <f>IF(B19&gt;1,3,3*B19)</f>
        <v>3</v>
      </c>
      <c r="E50" s="98" t="s">
        <v>78</v>
      </c>
      <c r="F50" s="96">
        <f>D50*F47*2/D46/3.142</f>
        <v>16.21634770011649</v>
      </c>
      <c r="G50" s="15" t="s">
        <v>28</v>
      </c>
    </row>
    <row r="51" spans="1:7" ht="17.25" thickBot="1">
      <c r="A51" s="18"/>
      <c r="B51" s="61"/>
      <c r="C51" s="20"/>
      <c r="D51" s="52"/>
      <c r="E51" s="97" t="s">
        <v>80</v>
      </c>
      <c r="F51" s="96">
        <f>F47-F50</f>
        <v>9.259534536766513</v>
      </c>
      <c r="G51" s="15" t="s">
        <v>28</v>
      </c>
    </row>
    <row r="52" spans="1:7" ht="15.75" thickBot="1">
      <c r="A52" s="344"/>
      <c r="B52" s="345"/>
      <c r="C52" s="345"/>
      <c r="D52" s="345"/>
      <c r="E52" s="345"/>
      <c r="F52" s="345"/>
      <c r="G52" s="346"/>
    </row>
    <row r="53" spans="1:7" ht="15">
      <c r="A53" s="336" t="s">
        <v>35</v>
      </c>
      <c r="B53" s="337"/>
      <c r="C53" s="337"/>
      <c r="D53" s="337"/>
      <c r="E53" s="337"/>
      <c r="F53" s="337"/>
      <c r="G53" s="338"/>
    </row>
    <row r="54" spans="1:7" ht="16.5">
      <c r="A54" s="29" t="s">
        <v>26</v>
      </c>
      <c r="B54" s="69">
        <f>Calculator!B58</f>
        <v>80</v>
      </c>
      <c r="C54" s="13" t="s">
        <v>27</v>
      </c>
      <c r="D54" s="51"/>
      <c r="E54" s="97" t="s">
        <v>77</v>
      </c>
      <c r="F54" s="17">
        <f>(Lp1*B55/(B54*Rcs*10^-6)-B55)/1000/2</f>
        <v>4.537033038801382</v>
      </c>
      <c r="G54" s="15" t="s">
        <v>61</v>
      </c>
    </row>
    <row r="55" spans="1:7" ht="17.25" thickBot="1">
      <c r="A55" s="100" t="s">
        <v>82</v>
      </c>
      <c r="B55" s="70">
        <f>Calculator!B59</f>
        <v>2</v>
      </c>
      <c r="C55" s="15" t="s">
        <v>28</v>
      </c>
      <c r="D55" s="52"/>
      <c r="E55" s="52"/>
      <c r="F55" s="52"/>
      <c r="G55" s="53"/>
    </row>
    <row r="56" spans="1:7" ht="17.25" thickBot="1">
      <c r="A56" s="24"/>
      <c r="B56" s="55"/>
      <c r="C56" s="26"/>
      <c r="D56" s="56"/>
      <c r="E56" s="56"/>
      <c r="F56" s="56"/>
      <c r="G56" s="57"/>
    </row>
    <row r="57" spans="1:7" ht="15">
      <c r="A57" s="336" t="s">
        <v>22</v>
      </c>
      <c r="B57" s="337"/>
      <c r="C57" s="337"/>
      <c r="D57" s="337"/>
      <c r="E57" s="337"/>
      <c r="F57" s="337"/>
      <c r="G57" s="338"/>
    </row>
    <row r="58" spans="1:7" ht="15.75" thickBot="1">
      <c r="A58" s="95" t="s">
        <v>63</v>
      </c>
      <c r="B58" s="72">
        <f>Calculator!B62</f>
        <v>500</v>
      </c>
      <c r="C58" s="71" t="s">
        <v>62</v>
      </c>
      <c r="D58" s="347"/>
      <c r="E58" s="52"/>
      <c r="F58" s="52"/>
      <c r="G58" s="52"/>
    </row>
    <row r="59" spans="1:7" ht="16.5">
      <c r="A59" s="95" t="s">
        <v>90</v>
      </c>
      <c r="B59" s="12">
        <f>B24*B58*0.8/1/(19*1000)</f>
        <v>2.530315789473684</v>
      </c>
      <c r="C59" s="13" t="s">
        <v>23</v>
      </c>
      <c r="D59" s="348"/>
      <c r="E59" s="103" t="s">
        <v>92</v>
      </c>
      <c r="F59" s="14">
        <f>Calculator!F63</f>
        <v>2</v>
      </c>
      <c r="G59" s="15" t="s">
        <v>23</v>
      </c>
    </row>
    <row r="60" spans="1:7" ht="17.25" thickBot="1">
      <c r="A60" s="104" t="s">
        <v>91</v>
      </c>
      <c r="B60" s="49">
        <f>B8^2/F59/1000</f>
        <v>35.1125</v>
      </c>
      <c r="C60" s="50" t="s">
        <v>64</v>
      </c>
      <c r="D60" s="349"/>
      <c r="E60" s="66" t="s">
        <v>24</v>
      </c>
      <c r="F60" s="66"/>
      <c r="G60" s="67"/>
    </row>
    <row r="61" spans="1:7" ht="15.75" thickBot="1">
      <c r="A61" s="336"/>
      <c r="B61" s="337"/>
      <c r="C61" s="337"/>
      <c r="D61" s="337"/>
      <c r="E61" s="337"/>
      <c r="F61" s="337"/>
      <c r="G61" s="338"/>
    </row>
    <row r="62" spans="1:7" ht="15">
      <c r="A62" s="336" t="s">
        <v>25</v>
      </c>
      <c r="B62" s="337"/>
      <c r="C62" s="337"/>
      <c r="D62" s="337"/>
      <c r="E62" s="337"/>
      <c r="F62" s="337"/>
      <c r="G62" s="338"/>
    </row>
    <row r="63" spans="1:7" ht="16.5">
      <c r="A63" s="29" t="s">
        <v>36</v>
      </c>
      <c r="B63" s="105">
        <f>3.5*Ns/B40/Vout</f>
        <v>0.175</v>
      </c>
      <c r="C63" s="13"/>
      <c r="D63" s="339"/>
      <c r="E63" s="103" t="s">
        <v>88</v>
      </c>
      <c r="F63" s="99">
        <f>Calculator!F67</f>
        <v>47</v>
      </c>
      <c r="G63" s="15" t="s">
        <v>28</v>
      </c>
    </row>
    <row r="64" spans="1:7" ht="17.25" thickBot="1">
      <c r="A64" s="18"/>
      <c r="B64" s="30"/>
      <c r="C64" s="20"/>
      <c r="D64" s="340"/>
      <c r="E64" s="39" t="s">
        <v>89</v>
      </c>
      <c r="F64" s="19">
        <f>B63*F63/(1-B63)</f>
        <v>9.96969696969697</v>
      </c>
      <c r="G64" s="23" t="s">
        <v>28</v>
      </c>
    </row>
    <row r="65" spans="1:7" ht="15.75" thickBot="1">
      <c r="A65" s="341"/>
      <c r="B65" s="342"/>
      <c r="C65" s="342"/>
      <c r="D65" s="342"/>
      <c r="E65" s="342"/>
      <c r="F65" s="342"/>
      <c r="G65" s="343"/>
    </row>
    <row r="66" spans="1:7" ht="15">
      <c r="A66" s="41" t="s">
        <v>30</v>
      </c>
      <c r="B66" s="42"/>
      <c r="C66" s="42"/>
      <c r="D66" s="42"/>
      <c r="E66" s="42"/>
      <c r="F66" s="42"/>
      <c r="G66" s="43"/>
    </row>
    <row r="67" spans="1:7" ht="17.25" thickBot="1">
      <c r="A67" s="18" t="s">
        <v>58</v>
      </c>
      <c r="B67" s="19">
        <f>4*Vout*1.2/3.5</f>
        <v>27.428571428571427</v>
      </c>
      <c r="C67" s="20" t="s">
        <v>3</v>
      </c>
      <c r="D67" s="21"/>
      <c r="E67" s="39" t="s">
        <v>56</v>
      </c>
      <c r="F67" s="19">
        <f>SQRT(1/(F14/F12)^2-1)/4/3.1415926/B9/F15*1000000</f>
        <v>1061.03297204524</v>
      </c>
      <c r="G67" s="31" t="s">
        <v>29</v>
      </c>
    </row>
  </sheetData>
  <sheetProtection sheet="1" selectLockedCells="1" selectUnlockedCells="1"/>
  <mergeCells count="24">
    <mergeCell ref="A6:C6"/>
    <mergeCell ref="E6:G6"/>
    <mergeCell ref="A16:G16"/>
    <mergeCell ref="A17:G17"/>
    <mergeCell ref="A1:G1"/>
    <mergeCell ref="A2:G2"/>
    <mergeCell ref="A3:G4"/>
    <mergeCell ref="A5:G5"/>
    <mergeCell ref="A33:G33"/>
    <mergeCell ref="D36:D40"/>
    <mergeCell ref="A45:G45"/>
    <mergeCell ref="A49:G49"/>
    <mergeCell ref="C18:D18"/>
    <mergeCell ref="A22:G22"/>
    <mergeCell ref="A23:G23"/>
    <mergeCell ref="A29:G29"/>
    <mergeCell ref="A61:G61"/>
    <mergeCell ref="A62:G62"/>
    <mergeCell ref="D63:D64"/>
    <mergeCell ref="A65:G65"/>
    <mergeCell ref="A52:G52"/>
    <mergeCell ref="A53:G53"/>
    <mergeCell ref="A57:G57"/>
    <mergeCell ref="D58:D60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Visio.Drawing.11" shapeId="19029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5">
      <selection activeCell="E49" sqref="E49"/>
    </sheetView>
  </sheetViews>
  <sheetFormatPr defaultColWidth="9.00390625" defaultRowHeight="15"/>
  <cols>
    <col min="1" max="1" width="11.140625" style="140" customWidth="1"/>
    <col min="2" max="2" width="6.00390625" style="140" customWidth="1"/>
    <col min="3" max="3" width="19.7109375" style="140" customWidth="1"/>
    <col min="4" max="4" width="8.421875" style="140" bestFit="1" customWidth="1"/>
    <col min="5" max="5" width="6.7109375" style="140" customWidth="1"/>
    <col min="6" max="6" width="8.7109375" style="140" bestFit="1" customWidth="1"/>
    <col min="7" max="7" width="8.7109375" style="189" bestFit="1" customWidth="1"/>
    <col min="8" max="8" width="7.57421875" style="140" customWidth="1"/>
    <col min="9" max="9" width="9.8515625" style="189" bestFit="1" customWidth="1"/>
    <col min="10" max="10" width="7.8515625" style="140" bestFit="1" customWidth="1"/>
    <col min="11" max="11" width="12.140625" style="140" bestFit="1" customWidth="1"/>
    <col min="12" max="13" width="5.8515625" style="140" customWidth="1"/>
    <col min="14" max="14" width="7.57421875" style="140" customWidth="1"/>
    <col min="15" max="15" width="10.00390625" style="140" bestFit="1" customWidth="1"/>
    <col min="16" max="16" width="5.8515625" style="140" customWidth="1"/>
    <col min="17" max="16384" width="9.00390625" style="140" customWidth="1"/>
  </cols>
  <sheetData>
    <row r="1" spans="1:16" ht="14.25">
      <c r="A1" s="138" t="s">
        <v>108</v>
      </c>
      <c r="B1" s="138"/>
      <c r="C1" s="138"/>
      <c r="D1" s="138"/>
      <c r="E1" s="138"/>
      <c r="F1" s="138"/>
      <c r="G1" s="139"/>
      <c r="H1" s="138"/>
      <c r="I1" s="139"/>
      <c r="J1" s="138"/>
      <c r="K1" s="138"/>
      <c r="L1" s="138"/>
      <c r="M1" s="138"/>
      <c r="N1" s="138"/>
      <c r="O1" s="138"/>
      <c r="P1" s="138"/>
    </row>
    <row r="2" spans="1:16" ht="38.25">
      <c r="A2" s="141" t="s">
        <v>109</v>
      </c>
      <c r="B2" s="142" t="s">
        <v>110</v>
      </c>
      <c r="C2" s="141" t="s">
        <v>111</v>
      </c>
      <c r="D2" s="142" t="s">
        <v>112</v>
      </c>
      <c r="E2" s="142" t="s">
        <v>113</v>
      </c>
      <c r="F2" s="142" t="s">
        <v>114</v>
      </c>
      <c r="G2" s="143" t="s">
        <v>115</v>
      </c>
      <c r="H2" s="142" t="s">
        <v>116</v>
      </c>
      <c r="I2" s="143" t="s">
        <v>117</v>
      </c>
      <c r="J2" s="142" t="s">
        <v>118</v>
      </c>
      <c r="K2" s="142" t="s">
        <v>119</v>
      </c>
      <c r="L2" s="142" t="s">
        <v>120</v>
      </c>
      <c r="M2" s="142" t="s">
        <v>121</v>
      </c>
      <c r="N2" s="142" t="s">
        <v>122</v>
      </c>
      <c r="O2" s="141" t="s">
        <v>123</v>
      </c>
      <c r="P2" s="141" t="s">
        <v>124</v>
      </c>
    </row>
    <row r="3" spans="1:16" ht="14.25">
      <c r="A3" s="144"/>
      <c r="B3" s="144"/>
      <c r="C3" s="145" t="s">
        <v>125</v>
      </c>
      <c r="D3" s="146" t="s">
        <v>126</v>
      </c>
      <c r="E3" s="146" t="s">
        <v>127</v>
      </c>
      <c r="F3" s="146" t="s">
        <v>128</v>
      </c>
      <c r="G3" s="147" t="s">
        <v>129</v>
      </c>
      <c r="H3" s="146" t="s">
        <v>130</v>
      </c>
      <c r="I3" s="147" t="s">
        <v>131</v>
      </c>
      <c r="J3" s="146" t="s">
        <v>132</v>
      </c>
      <c r="K3" s="146" t="s">
        <v>133</v>
      </c>
      <c r="L3" s="148" t="s">
        <v>134</v>
      </c>
      <c r="M3" s="149"/>
      <c r="N3" s="150" t="s">
        <v>135</v>
      </c>
      <c r="O3" s="151"/>
      <c r="P3" s="152"/>
    </row>
    <row r="4" spans="1:16" ht="14.25">
      <c r="A4" s="153" t="s">
        <v>136</v>
      </c>
      <c r="B4" s="154"/>
      <c r="C4" s="155"/>
      <c r="D4" s="151"/>
      <c r="E4" s="151"/>
      <c r="F4" s="151"/>
      <c r="G4" s="156"/>
      <c r="H4" s="151"/>
      <c r="I4" s="156"/>
      <c r="J4" s="151"/>
      <c r="K4" s="151"/>
      <c r="L4" s="151"/>
      <c r="M4" s="157"/>
      <c r="N4" s="157"/>
      <c r="O4" s="157"/>
      <c r="P4" s="158"/>
    </row>
    <row r="5" spans="1:16" ht="14.25">
      <c r="A5" s="159" t="s">
        <v>137</v>
      </c>
      <c r="B5" s="159" t="s">
        <v>138</v>
      </c>
      <c r="C5" s="159" t="s">
        <v>139</v>
      </c>
      <c r="D5" s="160">
        <v>1.37409</v>
      </c>
      <c r="E5" s="161">
        <v>84.3</v>
      </c>
      <c r="F5" s="161">
        <v>163</v>
      </c>
      <c r="G5" s="162">
        <v>2100</v>
      </c>
      <c r="H5" s="161">
        <v>77.4</v>
      </c>
      <c r="I5" s="162">
        <v>6530</v>
      </c>
      <c r="J5" s="161">
        <v>38</v>
      </c>
      <c r="K5" s="163"/>
      <c r="L5" s="163"/>
      <c r="M5" s="163">
        <v>21.5</v>
      </c>
      <c r="N5" s="163"/>
      <c r="O5" s="163">
        <v>8</v>
      </c>
      <c r="P5" s="159" t="s">
        <v>140</v>
      </c>
    </row>
    <row r="6" spans="1:16" ht="14.25">
      <c r="A6" s="164" t="s">
        <v>141</v>
      </c>
      <c r="B6" s="164" t="s">
        <v>138</v>
      </c>
      <c r="C6" s="164" t="s">
        <v>142</v>
      </c>
      <c r="D6" s="165">
        <v>2.5894</v>
      </c>
      <c r="E6" s="166">
        <v>121</v>
      </c>
      <c r="F6" s="166">
        <v>214</v>
      </c>
      <c r="G6" s="167">
        <v>2700</v>
      </c>
      <c r="H6" s="166">
        <v>89.3</v>
      </c>
      <c r="I6" s="167">
        <v>10800</v>
      </c>
      <c r="J6" s="166">
        <v>60</v>
      </c>
      <c r="K6" s="168"/>
      <c r="L6" s="168"/>
      <c r="M6" s="168">
        <v>24.5</v>
      </c>
      <c r="N6" s="168"/>
      <c r="O6" s="168">
        <v>8</v>
      </c>
      <c r="P6" s="164" t="s">
        <v>140</v>
      </c>
    </row>
    <row r="7" spans="1:16" ht="14.25">
      <c r="A7" s="164" t="s">
        <v>143</v>
      </c>
      <c r="B7" s="164" t="s">
        <v>138</v>
      </c>
      <c r="C7" s="164" t="s">
        <v>144</v>
      </c>
      <c r="D7" s="165">
        <v>5.598</v>
      </c>
      <c r="E7" s="166">
        <v>180</v>
      </c>
      <c r="F7" s="166">
        <v>311</v>
      </c>
      <c r="G7" s="167">
        <v>3600</v>
      </c>
      <c r="H7" s="166">
        <v>105</v>
      </c>
      <c r="I7" s="167">
        <v>18800</v>
      </c>
      <c r="J7" s="166">
        <v>112</v>
      </c>
      <c r="K7" s="168"/>
      <c r="L7" s="168"/>
      <c r="M7" s="168">
        <v>28.3</v>
      </c>
      <c r="N7" s="168"/>
      <c r="O7" s="168">
        <v>12</v>
      </c>
      <c r="P7" s="164" t="s">
        <v>140</v>
      </c>
    </row>
    <row r="8" spans="1:16" ht="14.25">
      <c r="A8" s="169" t="s">
        <v>145</v>
      </c>
      <c r="B8" s="169" t="s">
        <v>138</v>
      </c>
      <c r="C8" s="169" t="s">
        <v>146</v>
      </c>
      <c r="D8" s="170">
        <v>17.8281</v>
      </c>
      <c r="E8" s="171">
        <v>279</v>
      </c>
      <c r="F8" s="171">
        <v>639</v>
      </c>
      <c r="G8" s="172">
        <v>3900</v>
      </c>
      <c r="H8" s="171">
        <v>144</v>
      </c>
      <c r="I8" s="172">
        <v>40100</v>
      </c>
      <c r="J8" s="171">
        <v>254</v>
      </c>
      <c r="K8" s="173"/>
      <c r="L8" s="173"/>
      <c r="M8" s="173">
        <v>41.4</v>
      </c>
      <c r="N8" s="173"/>
      <c r="O8" s="173" t="s">
        <v>147</v>
      </c>
      <c r="P8" s="169" t="s">
        <v>140</v>
      </c>
    </row>
    <row r="9" spans="1:16" ht="14.25">
      <c r="A9" s="153" t="s">
        <v>148</v>
      </c>
      <c r="B9" s="174"/>
      <c r="C9" s="174"/>
      <c r="D9" s="175"/>
      <c r="E9" s="176"/>
      <c r="F9" s="176"/>
      <c r="G9" s="177"/>
      <c r="H9" s="176"/>
      <c r="I9" s="177"/>
      <c r="J9" s="176"/>
      <c r="K9" s="178"/>
      <c r="L9" s="178"/>
      <c r="M9" s="178"/>
      <c r="N9" s="178"/>
      <c r="O9" s="178"/>
      <c r="P9" s="179"/>
    </row>
    <row r="10" spans="1:16" ht="14.25">
      <c r="A10" s="159" t="s">
        <v>149</v>
      </c>
      <c r="B10" s="159" t="s">
        <v>150</v>
      </c>
      <c r="C10" s="159" t="s">
        <v>151</v>
      </c>
      <c r="D10" s="160">
        <v>0.001315</v>
      </c>
      <c r="E10" s="161">
        <v>2.63</v>
      </c>
      <c r="F10" s="161">
        <v>5</v>
      </c>
      <c r="G10" s="162">
        <v>285</v>
      </c>
      <c r="H10" s="161">
        <v>12.6</v>
      </c>
      <c r="I10" s="162">
        <v>33.1</v>
      </c>
      <c r="J10" s="161">
        <v>0.16</v>
      </c>
      <c r="K10" s="163">
        <v>0.02</v>
      </c>
      <c r="L10" s="163">
        <v>1.1</v>
      </c>
      <c r="M10" s="163">
        <v>2.7</v>
      </c>
      <c r="N10" s="163"/>
      <c r="O10" s="180" t="s">
        <v>152</v>
      </c>
      <c r="P10" s="159" t="s">
        <v>140</v>
      </c>
    </row>
    <row r="11" spans="1:16" ht="14.25">
      <c r="A11" s="164" t="s">
        <v>153</v>
      </c>
      <c r="B11" s="164" t="s">
        <v>150</v>
      </c>
      <c r="C11" s="164" t="s">
        <v>154</v>
      </c>
      <c r="D11" s="165">
        <v>0.00147626</v>
      </c>
      <c r="E11" s="166">
        <v>3.31</v>
      </c>
      <c r="F11" s="166">
        <v>4.46</v>
      </c>
      <c r="G11" s="167">
        <v>405</v>
      </c>
      <c r="H11" s="166">
        <v>12.2</v>
      </c>
      <c r="I11" s="167">
        <v>40.4</v>
      </c>
      <c r="J11" s="166">
        <v>0.24</v>
      </c>
      <c r="K11" s="168">
        <v>0.02</v>
      </c>
      <c r="L11" s="168"/>
      <c r="M11" s="168">
        <v>2.7</v>
      </c>
      <c r="N11" s="168"/>
      <c r="O11" s="168">
        <v>6</v>
      </c>
      <c r="P11" s="164" t="s">
        <v>140</v>
      </c>
    </row>
    <row r="12" spans="1:16" ht="14.25">
      <c r="A12" s="164" t="s">
        <v>155</v>
      </c>
      <c r="B12" s="164" t="s">
        <v>150</v>
      </c>
      <c r="C12" s="164" t="s">
        <v>156</v>
      </c>
      <c r="D12" s="165">
        <v>0.009135</v>
      </c>
      <c r="E12" s="166">
        <v>7</v>
      </c>
      <c r="F12" s="166">
        <v>13.05</v>
      </c>
      <c r="G12" s="167">
        <v>590</v>
      </c>
      <c r="H12" s="166">
        <v>19.47</v>
      </c>
      <c r="I12" s="167">
        <v>139</v>
      </c>
      <c r="J12" s="166">
        <v>0.7</v>
      </c>
      <c r="K12" s="168">
        <v>0.06</v>
      </c>
      <c r="L12" s="168">
        <v>1.9</v>
      </c>
      <c r="M12" s="168">
        <v>4.78</v>
      </c>
      <c r="N12" s="168">
        <v>5.3</v>
      </c>
      <c r="O12" s="168">
        <v>6</v>
      </c>
      <c r="P12" s="164" t="s">
        <v>140</v>
      </c>
    </row>
    <row r="13" spans="1:16" ht="14.25">
      <c r="A13" s="164" t="s">
        <v>157</v>
      </c>
      <c r="B13" s="164" t="s">
        <v>150</v>
      </c>
      <c r="C13" s="164" t="s">
        <v>158</v>
      </c>
      <c r="D13" s="165">
        <v>0.028677</v>
      </c>
      <c r="E13" s="166">
        <v>12.1</v>
      </c>
      <c r="F13" s="166">
        <v>23.7</v>
      </c>
      <c r="G13" s="167">
        <v>850</v>
      </c>
      <c r="H13" s="166">
        <v>26.6</v>
      </c>
      <c r="I13" s="167">
        <v>302</v>
      </c>
      <c r="J13" s="166">
        <v>1.5</v>
      </c>
      <c r="K13" s="168">
        <v>0.16</v>
      </c>
      <c r="L13" s="168"/>
      <c r="M13" s="168">
        <v>6.6</v>
      </c>
      <c r="N13" s="168">
        <v>12.2</v>
      </c>
      <c r="O13" s="168">
        <v>8</v>
      </c>
      <c r="P13" s="164" t="s">
        <v>159</v>
      </c>
    </row>
    <row r="14" spans="1:16" ht="14.25">
      <c r="A14" s="164" t="s">
        <v>160</v>
      </c>
      <c r="B14" s="164" t="s">
        <v>150</v>
      </c>
      <c r="C14" s="164" t="s">
        <v>161</v>
      </c>
      <c r="D14" s="165">
        <v>0.05702850000000001</v>
      </c>
      <c r="E14" s="166">
        <v>17.1</v>
      </c>
      <c r="F14" s="166">
        <v>33.35</v>
      </c>
      <c r="G14" s="167">
        <v>1130</v>
      </c>
      <c r="H14" s="166">
        <v>30.2</v>
      </c>
      <c r="I14" s="167">
        <v>517</v>
      </c>
      <c r="J14" s="166">
        <v>2.7</v>
      </c>
      <c r="K14" s="168">
        <v>0.235</v>
      </c>
      <c r="L14" s="168"/>
      <c r="M14" s="168">
        <v>7.4</v>
      </c>
      <c r="N14" s="168">
        <v>22.2</v>
      </c>
      <c r="O14" s="168">
        <v>10</v>
      </c>
      <c r="P14" s="164" t="s">
        <v>159</v>
      </c>
    </row>
    <row r="15" spans="1:16" ht="14.25">
      <c r="A15" s="164" t="s">
        <v>162</v>
      </c>
      <c r="B15" s="164" t="s">
        <v>150</v>
      </c>
      <c r="C15" s="164" t="s">
        <v>163</v>
      </c>
      <c r="D15" s="165">
        <v>0.07651200000000001</v>
      </c>
      <c r="E15" s="166">
        <v>19.2</v>
      </c>
      <c r="F15" s="166">
        <v>39.85</v>
      </c>
      <c r="G15" s="167">
        <v>1140</v>
      </c>
      <c r="H15" s="166">
        <v>35</v>
      </c>
      <c r="I15" s="167">
        <v>672</v>
      </c>
      <c r="J15" s="166">
        <v>3.3</v>
      </c>
      <c r="K15" s="168">
        <v>0.31</v>
      </c>
      <c r="L15" s="168"/>
      <c r="M15" s="168">
        <v>8.5</v>
      </c>
      <c r="N15" s="168">
        <v>27.3</v>
      </c>
      <c r="O15" s="181" t="s">
        <v>164</v>
      </c>
      <c r="P15" s="164" t="s">
        <v>165</v>
      </c>
    </row>
    <row r="16" spans="1:16" ht="14.25">
      <c r="A16" s="164" t="s">
        <v>166</v>
      </c>
      <c r="B16" s="164" t="s">
        <v>150</v>
      </c>
      <c r="C16" s="164" t="s">
        <v>167</v>
      </c>
      <c r="D16" s="165">
        <v>0.12429200000000001</v>
      </c>
      <c r="E16" s="166">
        <v>23</v>
      </c>
      <c r="F16" s="166">
        <v>54.04</v>
      </c>
      <c r="G16" s="167">
        <v>1250</v>
      </c>
      <c r="H16" s="166">
        <v>39.4</v>
      </c>
      <c r="I16" s="167">
        <v>900</v>
      </c>
      <c r="J16" s="166">
        <v>4.8</v>
      </c>
      <c r="K16" s="168">
        <v>0.42</v>
      </c>
      <c r="L16" s="168"/>
      <c r="M16" s="168">
        <v>9</v>
      </c>
      <c r="N16" s="168">
        <v>33.1</v>
      </c>
      <c r="O16" s="181" t="s">
        <v>152</v>
      </c>
      <c r="P16" s="164" t="s">
        <v>165</v>
      </c>
    </row>
    <row r="17" spans="1:16" ht="14.25">
      <c r="A17" s="164" t="s">
        <v>168</v>
      </c>
      <c r="B17" s="164" t="s">
        <v>150</v>
      </c>
      <c r="C17" s="164" t="s">
        <v>169</v>
      </c>
      <c r="D17" s="165">
        <v>0.119056</v>
      </c>
      <c r="E17" s="166">
        <v>22.4</v>
      </c>
      <c r="F17" s="166">
        <v>53.15</v>
      </c>
      <c r="G17" s="167">
        <v>1350</v>
      </c>
      <c r="H17" s="166">
        <v>39.1</v>
      </c>
      <c r="I17" s="167">
        <v>882</v>
      </c>
      <c r="J17" s="166">
        <v>4.8</v>
      </c>
      <c r="K17" s="168">
        <v>0.41</v>
      </c>
      <c r="L17" s="168"/>
      <c r="M17" s="168">
        <v>9</v>
      </c>
      <c r="N17" s="168">
        <v>33.1</v>
      </c>
      <c r="O17" s="181" t="s">
        <v>152</v>
      </c>
      <c r="P17" s="164" t="s">
        <v>165</v>
      </c>
    </row>
    <row r="18" spans="1:16" ht="14.25">
      <c r="A18" s="164" t="s">
        <v>170</v>
      </c>
      <c r="B18" s="164" t="s">
        <v>150</v>
      </c>
      <c r="C18" s="164" t="s">
        <v>171</v>
      </c>
      <c r="D18" s="165">
        <v>0.119056</v>
      </c>
      <c r="E18" s="166">
        <v>31</v>
      </c>
      <c r="F18" s="166">
        <v>50.7</v>
      </c>
      <c r="G18" s="167">
        <v>1460</v>
      </c>
      <c r="H18" s="166">
        <v>43</v>
      </c>
      <c r="I18" s="167">
        <v>1340</v>
      </c>
      <c r="J18" s="166">
        <v>7.5</v>
      </c>
      <c r="K18" s="168">
        <v>0.51</v>
      </c>
      <c r="L18" s="168"/>
      <c r="M18" s="168"/>
      <c r="N18" s="168"/>
      <c r="O18" s="168"/>
      <c r="P18" s="164"/>
    </row>
    <row r="19" spans="1:16" ht="14.25">
      <c r="A19" s="164" t="s">
        <v>172</v>
      </c>
      <c r="B19" s="164" t="s">
        <v>150</v>
      </c>
      <c r="C19" s="164" t="s">
        <v>173</v>
      </c>
      <c r="D19" s="165">
        <v>0.119056</v>
      </c>
      <c r="E19" s="166">
        <v>41</v>
      </c>
      <c r="F19" s="166">
        <v>38.79</v>
      </c>
      <c r="G19" s="167">
        <v>2180</v>
      </c>
      <c r="H19" s="166">
        <v>39.4</v>
      </c>
      <c r="I19" s="167">
        <v>1610</v>
      </c>
      <c r="J19" s="166">
        <v>8.8</v>
      </c>
      <c r="K19" s="168">
        <v>0.61</v>
      </c>
      <c r="L19" s="168"/>
      <c r="M19" s="168">
        <v>8.45</v>
      </c>
      <c r="N19" s="168">
        <v>20</v>
      </c>
      <c r="O19" s="168">
        <v>8</v>
      </c>
      <c r="P19" s="164" t="s">
        <v>159</v>
      </c>
    </row>
    <row r="20" spans="1:16" ht="14.25">
      <c r="A20" s="164" t="s">
        <v>174</v>
      </c>
      <c r="B20" s="164" t="s">
        <v>150</v>
      </c>
      <c r="C20" s="164" t="s">
        <v>175</v>
      </c>
      <c r="D20" s="165">
        <v>0.119056</v>
      </c>
      <c r="E20" s="166">
        <v>35.8</v>
      </c>
      <c r="F20" s="166">
        <v>122</v>
      </c>
      <c r="G20" s="167">
        <v>1250</v>
      </c>
      <c r="H20" s="166">
        <v>64.9</v>
      </c>
      <c r="I20" s="167">
        <v>2320</v>
      </c>
      <c r="J20" s="166">
        <v>12</v>
      </c>
      <c r="K20" s="168">
        <v>1.16</v>
      </c>
      <c r="L20" s="168"/>
      <c r="M20" s="168"/>
      <c r="N20" s="168"/>
      <c r="O20" s="168"/>
      <c r="P20" s="164"/>
    </row>
    <row r="21" spans="1:16" ht="14.25">
      <c r="A21" s="164" t="s">
        <v>176</v>
      </c>
      <c r="B21" s="164" t="s">
        <v>150</v>
      </c>
      <c r="C21" s="164" t="s">
        <v>177</v>
      </c>
      <c r="D21" s="165">
        <v>0.119056</v>
      </c>
      <c r="E21" s="166">
        <v>40</v>
      </c>
      <c r="F21" s="166">
        <v>78.2</v>
      </c>
      <c r="G21" s="167">
        <v>2000</v>
      </c>
      <c r="H21" s="166">
        <v>48.7</v>
      </c>
      <c r="I21" s="167">
        <v>1940</v>
      </c>
      <c r="J21" s="166">
        <v>9.1</v>
      </c>
      <c r="K21" s="168">
        <v>0.9</v>
      </c>
      <c r="L21" s="168"/>
      <c r="M21" s="168">
        <v>9.8</v>
      </c>
      <c r="N21" s="168">
        <v>42.5</v>
      </c>
      <c r="O21" s="168"/>
      <c r="P21" s="164"/>
    </row>
    <row r="22" spans="1:16" ht="14.25">
      <c r="A22" s="164" t="s">
        <v>178</v>
      </c>
      <c r="B22" s="164" t="s">
        <v>150</v>
      </c>
      <c r="C22" s="164" t="s">
        <v>179</v>
      </c>
      <c r="D22" s="165">
        <v>0.119056</v>
      </c>
      <c r="E22" s="166">
        <v>40.3</v>
      </c>
      <c r="F22" s="166">
        <v>78.73</v>
      </c>
      <c r="G22" s="167">
        <v>2000</v>
      </c>
      <c r="H22" s="166">
        <v>48.7</v>
      </c>
      <c r="I22" s="167">
        <v>1963</v>
      </c>
      <c r="J22" s="166">
        <v>10</v>
      </c>
      <c r="K22" s="168">
        <v>0.9</v>
      </c>
      <c r="L22" s="168"/>
      <c r="M22" s="168"/>
      <c r="N22" s="168"/>
      <c r="O22" s="168"/>
      <c r="P22" s="164"/>
    </row>
    <row r="23" spans="1:16" ht="14.25">
      <c r="A23" s="164" t="s">
        <v>180</v>
      </c>
      <c r="B23" s="164" t="s">
        <v>150</v>
      </c>
      <c r="C23" s="164" t="s">
        <v>181</v>
      </c>
      <c r="D23" s="165">
        <v>0.119056</v>
      </c>
      <c r="E23" s="166">
        <v>86.9</v>
      </c>
      <c r="F23" s="166">
        <v>98.1</v>
      </c>
      <c r="G23" s="167">
        <v>3300</v>
      </c>
      <c r="H23" s="166">
        <v>57.7</v>
      </c>
      <c r="I23" s="167">
        <v>5010</v>
      </c>
      <c r="J23" s="166">
        <v>26</v>
      </c>
      <c r="K23" s="168">
        <v>2.51</v>
      </c>
      <c r="L23" s="168"/>
      <c r="M23" s="168">
        <v>9.6</v>
      </c>
      <c r="N23" s="168">
        <v>39.4</v>
      </c>
      <c r="O23" s="168">
        <v>10</v>
      </c>
      <c r="P23" s="164" t="s">
        <v>159</v>
      </c>
    </row>
    <row r="24" spans="1:16" ht="14.25">
      <c r="A24" s="164" t="s">
        <v>182</v>
      </c>
      <c r="B24" s="164" t="s">
        <v>150</v>
      </c>
      <c r="C24" s="164" t="s">
        <v>183</v>
      </c>
      <c r="D24" s="165">
        <v>0.119056</v>
      </c>
      <c r="E24" s="166">
        <v>109</v>
      </c>
      <c r="F24" s="166">
        <v>73.35</v>
      </c>
      <c r="G24" s="167">
        <v>4690</v>
      </c>
      <c r="H24" s="166">
        <v>57.7</v>
      </c>
      <c r="I24" s="167">
        <v>6310</v>
      </c>
      <c r="J24" s="166">
        <v>32</v>
      </c>
      <c r="K24" s="168">
        <v>2.9</v>
      </c>
      <c r="L24" s="168"/>
      <c r="M24" s="168">
        <v>13.7</v>
      </c>
      <c r="N24" s="168">
        <v>43.2</v>
      </c>
      <c r="O24" s="181" t="s">
        <v>184</v>
      </c>
      <c r="P24" s="164" t="s">
        <v>159</v>
      </c>
    </row>
    <row r="25" spans="1:16" ht="14.25">
      <c r="A25" s="164" t="s">
        <v>185</v>
      </c>
      <c r="B25" s="164" t="s">
        <v>150</v>
      </c>
      <c r="C25" s="164" t="s">
        <v>186</v>
      </c>
      <c r="D25" s="165">
        <v>0.119056</v>
      </c>
      <c r="E25" s="166">
        <v>59.7</v>
      </c>
      <c r="F25" s="166">
        <v>124.87</v>
      </c>
      <c r="G25" s="167">
        <v>2100</v>
      </c>
      <c r="H25" s="166">
        <v>66.9</v>
      </c>
      <c r="I25" s="167">
        <v>4000</v>
      </c>
      <c r="J25" s="166">
        <v>22</v>
      </c>
      <c r="K25" s="168">
        <v>1.51</v>
      </c>
      <c r="L25" s="168"/>
      <c r="M25" s="168"/>
      <c r="N25" s="168"/>
      <c r="O25" s="168"/>
      <c r="P25" s="164"/>
    </row>
    <row r="26" spans="1:16" ht="14.25">
      <c r="A26" s="164" t="s">
        <v>187</v>
      </c>
      <c r="B26" s="164" t="s">
        <v>150</v>
      </c>
      <c r="C26" s="164" t="s">
        <v>188</v>
      </c>
      <c r="D26" s="165">
        <v>0.119056</v>
      </c>
      <c r="E26" s="166">
        <v>84.8</v>
      </c>
      <c r="F26" s="166">
        <v>158</v>
      </c>
      <c r="G26" s="167">
        <v>2600</v>
      </c>
      <c r="H26" s="166">
        <v>69.7</v>
      </c>
      <c r="I26" s="167">
        <v>5910</v>
      </c>
      <c r="J26" s="166">
        <v>29</v>
      </c>
      <c r="K26" s="168">
        <v>2.96</v>
      </c>
      <c r="L26" s="168"/>
      <c r="M26" s="168">
        <v>15.7</v>
      </c>
      <c r="N26" s="168">
        <v>88.7</v>
      </c>
      <c r="O26" s="181">
        <v>12</v>
      </c>
      <c r="P26" s="164" t="s">
        <v>159</v>
      </c>
    </row>
    <row r="27" spans="1:16" ht="14.25">
      <c r="A27" s="164" t="s">
        <v>189</v>
      </c>
      <c r="B27" s="164" t="s">
        <v>150</v>
      </c>
      <c r="C27" s="164" t="s">
        <v>190</v>
      </c>
      <c r="D27" s="165">
        <v>0.119056</v>
      </c>
      <c r="E27" s="166">
        <v>127</v>
      </c>
      <c r="F27" s="166">
        <v>173.23</v>
      </c>
      <c r="G27" s="167">
        <v>4150</v>
      </c>
      <c r="H27" s="166">
        <v>77</v>
      </c>
      <c r="I27" s="167">
        <v>9810</v>
      </c>
      <c r="J27" s="166">
        <v>50</v>
      </c>
      <c r="K27" s="168">
        <v>4.2</v>
      </c>
      <c r="L27" s="168"/>
      <c r="M27" s="168">
        <v>17.3</v>
      </c>
      <c r="N27" s="168">
        <v>108</v>
      </c>
      <c r="O27" s="168">
        <v>12</v>
      </c>
      <c r="P27" s="164" t="s">
        <v>159</v>
      </c>
    </row>
    <row r="28" spans="1:16" ht="14.25">
      <c r="A28" s="164" t="s">
        <v>191</v>
      </c>
      <c r="B28" s="164" t="s">
        <v>150</v>
      </c>
      <c r="C28" s="164" t="s">
        <v>192</v>
      </c>
      <c r="D28" s="165">
        <v>0.119056</v>
      </c>
      <c r="E28" s="166">
        <v>157</v>
      </c>
      <c r="F28" s="166">
        <v>180</v>
      </c>
      <c r="G28" s="167">
        <v>4200</v>
      </c>
      <c r="H28" s="166">
        <v>79</v>
      </c>
      <c r="I28" s="167">
        <v>12470</v>
      </c>
      <c r="J28" s="166">
        <v>64</v>
      </c>
      <c r="K28" s="168">
        <v>6.25</v>
      </c>
      <c r="L28" s="168"/>
      <c r="M28" s="168"/>
      <c r="N28" s="168"/>
      <c r="O28" s="181"/>
      <c r="P28" s="164"/>
    </row>
    <row r="29" spans="1:16" ht="14.25">
      <c r="A29" s="164" t="s">
        <v>193</v>
      </c>
      <c r="B29" s="164" t="s">
        <v>150</v>
      </c>
      <c r="C29" s="164" t="s">
        <v>194</v>
      </c>
      <c r="D29" s="165">
        <v>0.119056</v>
      </c>
      <c r="E29" s="166">
        <v>178</v>
      </c>
      <c r="F29" s="166">
        <v>278</v>
      </c>
      <c r="G29" s="167">
        <v>3800</v>
      </c>
      <c r="H29" s="166">
        <v>97.9</v>
      </c>
      <c r="I29" s="167">
        <v>19510</v>
      </c>
      <c r="J29" s="166">
        <v>88</v>
      </c>
      <c r="K29" s="168">
        <v>8.8</v>
      </c>
      <c r="L29" s="168"/>
      <c r="M29" s="168"/>
      <c r="N29" s="168"/>
      <c r="O29" s="168"/>
      <c r="P29" s="164"/>
    </row>
    <row r="30" spans="1:16" ht="14.25">
      <c r="A30" s="164" t="s">
        <v>195</v>
      </c>
      <c r="B30" s="164" t="s">
        <v>150</v>
      </c>
      <c r="C30" s="164" t="s">
        <v>196</v>
      </c>
      <c r="D30" s="165">
        <v>0.119056</v>
      </c>
      <c r="E30" s="166">
        <v>235</v>
      </c>
      <c r="F30" s="166">
        <v>275</v>
      </c>
      <c r="G30" s="167">
        <v>5000</v>
      </c>
      <c r="H30" s="166">
        <v>97.8</v>
      </c>
      <c r="I30" s="167">
        <v>23000</v>
      </c>
      <c r="J30" s="166">
        <v>116</v>
      </c>
      <c r="K30" s="168">
        <v>11.6</v>
      </c>
      <c r="L30" s="168"/>
      <c r="M30" s="168"/>
      <c r="N30" s="168"/>
      <c r="O30" s="181"/>
      <c r="P30" s="164"/>
    </row>
    <row r="31" spans="1:16" ht="14.25">
      <c r="A31" s="164" t="s">
        <v>197</v>
      </c>
      <c r="B31" s="164" t="s">
        <v>150</v>
      </c>
      <c r="C31" s="164" t="s">
        <v>198</v>
      </c>
      <c r="D31" s="165">
        <v>0.119056</v>
      </c>
      <c r="E31" s="166">
        <v>242</v>
      </c>
      <c r="F31" s="166">
        <v>196.4</v>
      </c>
      <c r="G31" s="167">
        <v>6660</v>
      </c>
      <c r="H31" s="166">
        <v>90.6</v>
      </c>
      <c r="I31" s="167">
        <v>21930</v>
      </c>
      <c r="J31" s="166">
        <v>108</v>
      </c>
      <c r="K31" s="168">
        <v>9.7</v>
      </c>
      <c r="L31" s="168"/>
      <c r="M31" s="168"/>
      <c r="N31" s="168"/>
      <c r="O31" s="168"/>
      <c r="P31" s="164"/>
    </row>
    <row r="32" spans="1:16" ht="14.25">
      <c r="A32" s="164" t="s">
        <v>199</v>
      </c>
      <c r="B32" s="164" t="s">
        <v>150</v>
      </c>
      <c r="C32" s="164" t="s">
        <v>200</v>
      </c>
      <c r="D32" s="165">
        <v>0.119056</v>
      </c>
      <c r="E32" s="166">
        <v>226</v>
      </c>
      <c r="F32" s="166">
        <v>253.73</v>
      </c>
      <c r="G32" s="167">
        <v>6110</v>
      </c>
      <c r="H32" s="166">
        <v>95.8</v>
      </c>
      <c r="I32" s="167">
        <v>21600</v>
      </c>
      <c r="J32" s="166">
        <v>116</v>
      </c>
      <c r="K32" s="168">
        <v>9.4</v>
      </c>
      <c r="L32" s="168"/>
      <c r="M32" s="168">
        <v>21.3</v>
      </c>
      <c r="N32" s="168">
        <v>170</v>
      </c>
      <c r="O32" s="181">
        <v>12</v>
      </c>
      <c r="P32" s="164" t="s">
        <v>159</v>
      </c>
    </row>
    <row r="33" spans="1:16" ht="14.25">
      <c r="A33" s="164" t="s">
        <v>201</v>
      </c>
      <c r="B33" s="164" t="s">
        <v>150</v>
      </c>
      <c r="C33" s="164" t="s">
        <v>202</v>
      </c>
      <c r="D33" s="165">
        <v>0.119056</v>
      </c>
      <c r="E33" s="166">
        <v>354</v>
      </c>
      <c r="F33" s="166">
        <v>386.34</v>
      </c>
      <c r="G33" s="167">
        <v>7100</v>
      </c>
      <c r="H33" s="166">
        <v>123</v>
      </c>
      <c r="I33" s="167">
        <v>43700</v>
      </c>
      <c r="J33" s="166">
        <v>234</v>
      </c>
      <c r="K33" s="168" t="s">
        <v>203</v>
      </c>
      <c r="L33" s="168"/>
      <c r="M33" s="168"/>
      <c r="N33" s="168"/>
      <c r="O33" s="168"/>
      <c r="P33" s="164"/>
    </row>
    <row r="34" spans="1:16" ht="14.25">
      <c r="A34" s="164" t="s">
        <v>204</v>
      </c>
      <c r="B34" s="164" t="s">
        <v>150</v>
      </c>
      <c r="C34" s="164" t="s">
        <v>205</v>
      </c>
      <c r="D34" s="165">
        <v>0.119056</v>
      </c>
      <c r="E34" s="166">
        <v>344</v>
      </c>
      <c r="F34" s="166">
        <v>282.36</v>
      </c>
      <c r="G34" s="167">
        <v>8530</v>
      </c>
      <c r="H34" s="166">
        <v>102</v>
      </c>
      <c r="I34" s="167">
        <v>35100</v>
      </c>
      <c r="J34" s="166">
        <v>190</v>
      </c>
      <c r="K34" s="168">
        <v>8.5</v>
      </c>
      <c r="L34" s="168"/>
      <c r="M34" s="168"/>
      <c r="N34" s="168"/>
      <c r="O34" s="181"/>
      <c r="P34" s="164"/>
    </row>
    <row r="35" spans="1:16" ht="14.25">
      <c r="A35" s="164" t="s">
        <v>206</v>
      </c>
      <c r="B35" s="164" t="s">
        <v>150</v>
      </c>
      <c r="C35" s="164" t="s">
        <v>207</v>
      </c>
      <c r="D35" s="165">
        <v>0.119056</v>
      </c>
      <c r="E35" s="166">
        <v>247</v>
      </c>
      <c r="F35" s="166">
        <v>399.02</v>
      </c>
      <c r="G35" s="167">
        <v>5670</v>
      </c>
      <c r="H35" s="166">
        <v>110</v>
      </c>
      <c r="I35" s="167">
        <v>27100</v>
      </c>
      <c r="J35" s="166">
        <v>135</v>
      </c>
      <c r="K35" s="168">
        <v>12.5</v>
      </c>
      <c r="L35" s="168"/>
      <c r="M35" s="168">
        <v>23.8</v>
      </c>
      <c r="N35" s="168">
        <v>294</v>
      </c>
      <c r="O35" s="168">
        <v>12</v>
      </c>
      <c r="P35" s="164" t="s">
        <v>159</v>
      </c>
    </row>
    <row r="36" spans="1:16" ht="14.25">
      <c r="A36" s="164" t="s">
        <v>208</v>
      </c>
      <c r="B36" s="164" t="s">
        <v>150</v>
      </c>
      <c r="C36" s="164" t="s">
        <v>209</v>
      </c>
      <c r="D36" s="165">
        <v>0.119056</v>
      </c>
      <c r="E36" s="166">
        <v>120.85</v>
      </c>
      <c r="F36" s="166">
        <v>152.64</v>
      </c>
      <c r="G36" s="167">
        <v>2900</v>
      </c>
      <c r="H36" s="166">
        <v>104.9</v>
      </c>
      <c r="I36" s="167">
        <v>12676</v>
      </c>
      <c r="J36" s="166">
        <v>68</v>
      </c>
      <c r="K36" s="168">
        <v>5.83</v>
      </c>
      <c r="L36" s="168"/>
      <c r="M36" s="168">
        <v>28.25</v>
      </c>
      <c r="N36" s="168">
        <v>96.05</v>
      </c>
      <c r="O36" s="168">
        <v>12</v>
      </c>
      <c r="P36" s="164" t="s">
        <v>140</v>
      </c>
    </row>
    <row r="37" spans="1:16" ht="14.25">
      <c r="A37" s="164" t="s">
        <v>210</v>
      </c>
      <c r="B37" s="164" t="s">
        <v>150</v>
      </c>
      <c r="C37" s="164" t="s">
        <v>211</v>
      </c>
      <c r="D37" s="165">
        <v>0.119056</v>
      </c>
      <c r="E37" s="166">
        <v>153.01</v>
      </c>
      <c r="F37" s="166">
        <v>198.22</v>
      </c>
      <c r="G37" s="167">
        <v>3100</v>
      </c>
      <c r="H37" s="166">
        <v>125.74</v>
      </c>
      <c r="I37" s="167">
        <v>19240</v>
      </c>
      <c r="J37" s="166">
        <v>102</v>
      </c>
      <c r="K37" s="168">
        <v>8.85</v>
      </c>
      <c r="L37" s="168"/>
      <c r="M37" s="168">
        <v>33.85</v>
      </c>
      <c r="N37" s="168">
        <v>115.09</v>
      </c>
      <c r="O37" s="168">
        <v>12</v>
      </c>
      <c r="P37" s="164" t="s">
        <v>140</v>
      </c>
    </row>
    <row r="38" spans="1:16" ht="14.25">
      <c r="A38" s="169" t="s">
        <v>212</v>
      </c>
      <c r="B38" s="169" t="s">
        <v>150</v>
      </c>
      <c r="C38" s="169" t="s">
        <v>213</v>
      </c>
      <c r="D38" s="165">
        <v>0.119056</v>
      </c>
      <c r="E38" s="171">
        <v>535</v>
      </c>
      <c r="F38" s="171">
        <v>575</v>
      </c>
      <c r="G38" s="172">
        <v>8000</v>
      </c>
      <c r="H38" s="171">
        <v>147</v>
      </c>
      <c r="I38" s="172">
        <v>78700</v>
      </c>
      <c r="J38" s="171">
        <v>399</v>
      </c>
      <c r="K38" s="173" t="s">
        <v>214</v>
      </c>
      <c r="L38" s="173"/>
      <c r="M38" s="173"/>
      <c r="N38" s="173"/>
      <c r="O38" s="173"/>
      <c r="P38" s="169"/>
    </row>
    <row r="39" spans="1:16" ht="14.25">
      <c r="A39" s="153" t="s">
        <v>215</v>
      </c>
      <c r="B39" s="174"/>
      <c r="C39" s="174"/>
      <c r="D39" s="175"/>
      <c r="E39" s="176"/>
      <c r="F39" s="176"/>
      <c r="G39" s="177"/>
      <c r="H39" s="176"/>
      <c r="I39" s="177"/>
      <c r="J39" s="176"/>
      <c r="K39" s="178"/>
      <c r="L39" s="178"/>
      <c r="M39" s="178"/>
      <c r="N39" s="178"/>
      <c r="O39" s="178"/>
      <c r="P39" s="179"/>
    </row>
    <row r="40" spans="1:16" ht="14.25">
      <c r="A40" s="159" t="s">
        <v>216</v>
      </c>
      <c r="B40" s="159" t="s">
        <v>150</v>
      </c>
      <c r="C40" s="159" t="s">
        <v>217</v>
      </c>
      <c r="D40" s="160">
        <v>0.03107</v>
      </c>
      <c r="E40" s="161">
        <v>13</v>
      </c>
      <c r="F40" s="161">
        <v>23.9</v>
      </c>
      <c r="G40" s="162">
        <v>810</v>
      </c>
      <c r="H40" s="161">
        <v>29.6</v>
      </c>
      <c r="I40" s="162">
        <v>385</v>
      </c>
      <c r="J40" s="161">
        <v>2</v>
      </c>
      <c r="K40" s="163">
        <v>0.17</v>
      </c>
      <c r="L40" s="163"/>
      <c r="M40" s="163">
        <v>3.5</v>
      </c>
      <c r="N40" s="163"/>
      <c r="O40" s="163">
        <v>10</v>
      </c>
      <c r="P40" s="159" t="s">
        <v>159</v>
      </c>
    </row>
    <row r="41" spans="1:16" ht="14.25">
      <c r="A41" s="164" t="s">
        <v>218</v>
      </c>
      <c r="B41" s="164" t="s">
        <v>150</v>
      </c>
      <c r="C41" s="164" t="s">
        <v>219</v>
      </c>
      <c r="D41" s="165">
        <v>0.0800382</v>
      </c>
      <c r="E41" s="166">
        <v>20.1</v>
      </c>
      <c r="F41" s="166">
        <v>39.82</v>
      </c>
      <c r="G41" s="167">
        <v>1100</v>
      </c>
      <c r="H41" s="166">
        <v>37.6</v>
      </c>
      <c r="I41" s="167">
        <v>754</v>
      </c>
      <c r="J41" s="166">
        <v>3.9</v>
      </c>
      <c r="K41" s="168">
        <v>0.32</v>
      </c>
      <c r="L41" s="168"/>
      <c r="M41" s="168"/>
      <c r="N41" s="168"/>
      <c r="O41" s="168"/>
      <c r="P41" s="164"/>
    </row>
    <row r="42" spans="1:16" ht="14.25">
      <c r="A42" s="164" t="s">
        <v>220</v>
      </c>
      <c r="B42" s="164" t="s">
        <v>150</v>
      </c>
      <c r="C42" s="164" t="s">
        <v>221</v>
      </c>
      <c r="D42" s="165">
        <v>0.10130399999999999</v>
      </c>
      <c r="E42" s="166">
        <v>33.5</v>
      </c>
      <c r="F42" s="166">
        <v>30.24</v>
      </c>
      <c r="G42" s="167">
        <v>1570</v>
      </c>
      <c r="H42" s="166">
        <v>44.9</v>
      </c>
      <c r="I42" s="167">
        <v>1500</v>
      </c>
      <c r="J42" s="166">
        <v>7.4</v>
      </c>
      <c r="K42" s="168">
        <v>0.69</v>
      </c>
      <c r="L42" s="168"/>
      <c r="M42" s="168"/>
      <c r="N42" s="168"/>
      <c r="O42" s="168"/>
      <c r="P42" s="164"/>
    </row>
    <row r="43" spans="1:16" ht="14.25">
      <c r="A43" s="164" t="s">
        <v>222</v>
      </c>
      <c r="B43" s="164" t="s">
        <v>150</v>
      </c>
      <c r="C43" s="164" t="s">
        <v>223</v>
      </c>
      <c r="D43" s="165">
        <v>0.237600125</v>
      </c>
      <c r="E43" s="166">
        <v>51.8</v>
      </c>
      <c r="F43" s="166">
        <v>45.86875</v>
      </c>
      <c r="G43" s="167">
        <v>2000</v>
      </c>
      <c r="H43" s="166">
        <v>57.8</v>
      </c>
      <c r="I43" s="167">
        <v>2990</v>
      </c>
      <c r="J43" s="166">
        <v>15</v>
      </c>
      <c r="K43" s="168">
        <v>1.4</v>
      </c>
      <c r="L43" s="168"/>
      <c r="M43" s="168"/>
      <c r="N43" s="168"/>
      <c r="O43" s="168"/>
      <c r="P43" s="164"/>
    </row>
    <row r="44" spans="1:16" ht="14.25">
      <c r="A44" s="169" t="s">
        <v>224</v>
      </c>
      <c r="B44" s="169" t="s">
        <v>150</v>
      </c>
      <c r="C44" s="169" t="s">
        <v>225</v>
      </c>
      <c r="D44" s="170">
        <v>0.651456</v>
      </c>
      <c r="E44" s="171">
        <v>83.2</v>
      </c>
      <c r="F44" s="171">
        <v>78.3</v>
      </c>
      <c r="G44" s="172">
        <v>2590</v>
      </c>
      <c r="H44" s="171">
        <v>74.3</v>
      </c>
      <c r="I44" s="172">
        <v>6180</v>
      </c>
      <c r="J44" s="171">
        <v>32</v>
      </c>
      <c r="K44" s="173">
        <v>2.9</v>
      </c>
      <c r="L44" s="173"/>
      <c r="M44" s="173"/>
      <c r="N44" s="173"/>
      <c r="O44" s="173"/>
      <c r="P44" s="169"/>
    </row>
    <row r="45" spans="1:16" ht="14.25">
      <c r="A45" s="153" t="s">
        <v>226</v>
      </c>
      <c r="B45" s="174"/>
      <c r="C45" s="174"/>
      <c r="D45" s="175"/>
      <c r="E45" s="176"/>
      <c r="F45" s="176"/>
      <c r="G45" s="177"/>
      <c r="H45" s="176"/>
      <c r="I45" s="177"/>
      <c r="J45" s="176"/>
      <c r="K45" s="178"/>
      <c r="L45" s="178"/>
      <c r="M45" s="178"/>
      <c r="N45" s="178"/>
      <c r="O45" s="178"/>
      <c r="P45" s="179"/>
    </row>
    <row r="46" spans="1:16" ht="14.25">
      <c r="A46" s="159" t="s">
        <v>227</v>
      </c>
      <c r="B46" s="159" t="s">
        <v>228</v>
      </c>
      <c r="C46" s="159" t="s">
        <v>229</v>
      </c>
      <c r="D46" s="160">
        <v>0.008352</v>
      </c>
      <c r="E46" s="161">
        <v>7.2</v>
      </c>
      <c r="F46" s="161">
        <v>11.6</v>
      </c>
      <c r="G46" s="162">
        <v>500</v>
      </c>
      <c r="H46" s="161">
        <v>23.7</v>
      </c>
      <c r="I46" s="162">
        <v>171</v>
      </c>
      <c r="J46" s="161">
        <v>0.45</v>
      </c>
      <c r="K46" s="163">
        <v>0.02</v>
      </c>
      <c r="L46" s="163"/>
      <c r="M46" s="163">
        <v>6</v>
      </c>
      <c r="N46" s="163"/>
      <c r="O46" s="163">
        <v>8</v>
      </c>
      <c r="P46" s="159" t="s">
        <v>140</v>
      </c>
    </row>
    <row r="47" spans="1:16" ht="14.25">
      <c r="A47" s="164" t="s">
        <v>230</v>
      </c>
      <c r="B47" s="164" t="s">
        <v>228</v>
      </c>
      <c r="C47" s="164" t="s">
        <v>231</v>
      </c>
      <c r="D47" s="165">
        <v>0.0186732</v>
      </c>
      <c r="E47" s="166">
        <v>11.4</v>
      </c>
      <c r="F47" s="166">
        <v>16.38</v>
      </c>
      <c r="G47" s="167">
        <v>700</v>
      </c>
      <c r="H47" s="166">
        <v>28.5</v>
      </c>
      <c r="I47" s="167">
        <v>325</v>
      </c>
      <c r="J47" s="166">
        <v>0.9</v>
      </c>
      <c r="K47" s="168">
        <v>0.04</v>
      </c>
      <c r="L47" s="168"/>
      <c r="M47" s="168">
        <v>7.6</v>
      </c>
      <c r="N47" s="168"/>
      <c r="O47" s="168">
        <v>8</v>
      </c>
      <c r="P47" s="164" t="s">
        <v>140</v>
      </c>
    </row>
    <row r="48" spans="1:16" ht="14.25">
      <c r="A48" s="164" t="s">
        <v>232</v>
      </c>
      <c r="B48" s="164" t="s">
        <v>228</v>
      </c>
      <c r="C48" s="164" t="s">
        <v>233</v>
      </c>
      <c r="D48" s="165">
        <v>0.047025000000000004</v>
      </c>
      <c r="E48" s="166">
        <v>15</v>
      </c>
      <c r="F48" s="166">
        <v>31.35</v>
      </c>
      <c r="G48" s="167">
        <v>780</v>
      </c>
      <c r="H48" s="166">
        <v>34</v>
      </c>
      <c r="I48" s="167">
        <v>510</v>
      </c>
      <c r="J48" s="166">
        <v>1.4</v>
      </c>
      <c r="K48" s="168">
        <v>0.06</v>
      </c>
      <c r="L48" s="168"/>
      <c r="M48" s="168">
        <v>8.8</v>
      </c>
      <c r="N48" s="168"/>
      <c r="O48" s="168">
        <v>8</v>
      </c>
      <c r="P48" s="164" t="s">
        <v>140</v>
      </c>
    </row>
    <row r="49" spans="1:16" ht="14.25">
      <c r="A49" s="164" t="s">
        <v>234</v>
      </c>
      <c r="B49" s="164" t="s">
        <v>138</v>
      </c>
      <c r="C49" s="164" t="s">
        <v>235</v>
      </c>
      <c r="D49" s="165">
        <v>0.155</v>
      </c>
      <c r="E49" s="166">
        <v>31</v>
      </c>
      <c r="F49" s="166">
        <v>50</v>
      </c>
      <c r="G49" s="167">
        <v>1300</v>
      </c>
      <c r="H49" s="166">
        <v>47</v>
      </c>
      <c r="I49" s="167">
        <v>1460</v>
      </c>
      <c r="J49" s="166">
        <v>3.5</v>
      </c>
      <c r="K49" s="168">
        <v>0.27</v>
      </c>
      <c r="L49" s="168"/>
      <c r="M49" s="168">
        <v>13</v>
      </c>
      <c r="N49" s="168"/>
      <c r="O49" s="168">
        <v>8</v>
      </c>
      <c r="P49" s="164" t="s">
        <v>140</v>
      </c>
    </row>
    <row r="50" spans="1:16" ht="14.25">
      <c r="A50" s="164" t="s">
        <v>236</v>
      </c>
      <c r="B50" s="164" t="s">
        <v>237</v>
      </c>
      <c r="C50" s="164" t="s">
        <v>238</v>
      </c>
      <c r="D50" s="165">
        <v>0.393762</v>
      </c>
      <c r="E50" s="166">
        <v>58</v>
      </c>
      <c r="F50" s="166">
        <v>67.89</v>
      </c>
      <c r="G50" s="167">
        <v>2200</v>
      </c>
      <c r="H50" s="166">
        <v>57</v>
      </c>
      <c r="I50" s="167">
        <v>3300</v>
      </c>
      <c r="J50" s="166">
        <v>8</v>
      </c>
      <c r="K50" s="168">
        <v>0.38</v>
      </c>
      <c r="L50" s="168"/>
      <c r="M50" s="168">
        <v>16.4</v>
      </c>
      <c r="N50" s="168">
        <v>43.4</v>
      </c>
      <c r="O50" s="168">
        <v>10</v>
      </c>
      <c r="P50" s="164" t="s">
        <v>140</v>
      </c>
    </row>
    <row r="51" spans="1:16" ht="14.25">
      <c r="A51" s="169" t="s">
        <v>239</v>
      </c>
      <c r="B51" s="169" t="s">
        <v>237</v>
      </c>
      <c r="C51" s="169" t="s">
        <v>240</v>
      </c>
      <c r="D51" s="170">
        <v>0.6027840000000001</v>
      </c>
      <c r="E51" s="171">
        <v>69</v>
      </c>
      <c r="F51" s="171">
        <v>87.36</v>
      </c>
      <c r="G51" s="172">
        <v>2100</v>
      </c>
      <c r="H51" s="171">
        <v>68</v>
      </c>
      <c r="I51" s="172">
        <v>4700</v>
      </c>
      <c r="J51" s="171">
        <v>12</v>
      </c>
      <c r="K51" s="173">
        <v>0.54</v>
      </c>
      <c r="L51" s="173"/>
      <c r="M51" s="173">
        <v>20.1</v>
      </c>
      <c r="N51" s="173"/>
      <c r="O51" s="173">
        <v>12</v>
      </c>
      <c r="P51" s="169" t="s">
        <v>140</v>
      </c>
    </row>
    <row r="52" spans="1:16" ht="14.25">
      <c r="A52" s="153" t="s">
        <v>241</v>
      </c>
      <c r="B52" s="174"/>
      <c r="C52" s="174"/>
      <c r="D52" s="175"/>
      <c r="E52" s="176"/>
      <c r="F52" s="176"/>
      <c r="G52" s="177"/>
      <c r="H52" s="176"/>
      <c r="I52" s="177"/>
      <c r="J52" s="176"/>
      <c r="K52" s="178"/>
      <c r="L52" s="178"/>
      <c r="M52" s="178"/>
      <c r="N52" s="178"/>
      <c r="O52" s="178"/>
      <c r="P52" s="179"/>
    </row>
    <row r="53" spans="1:16" ht="14.25">
      <c r="A53" s="159" t="s">
        <v>242</v>
      </c>
      <c r="B53" s="159" t="s">
        <v>150</v>
      </c>
      <c r="C53" s="159" t="s">
        <v>243</v>
      </c>
      <c r="D53" s="160">
        <v>0.023500800000000002</v>
      </c>
      <c r="E53" s="161">
        <v>14.4</v>
      </c>
      <c r="F53" s="161">
        <v>16.32</v>
      </c>
      <c r="G53" s="162">
        <v>1200</v>
      </c>
      <c r="H53" s="161">
        <v>21.3</v>
      </c>
      <c r="I53" s="162">
        <v>308</v>
      </c>
      <c r="J53" s="161">
        <v>1.9</v>
      </c>
      <c r="K53" s="163">
        <v>0.12</v>
      </c>
      <c r="L53" s="163"/>
      <c r="M53" s="163">
        <v>3.5</v>
      </c>
      <c r="N53" s="163">
        <v>8.6</v>
      </c>
      <c r="O53" s="163">
        <v>10</v>
      </c>
      <c r="P53" s="159" t="s">
        <v>159</v>
      </c>
    </row>
    <row r="54" spans="1:16" ht="14.25">
      <c r="A54" s="164" t="s">
        <v>244</v>
      </c>
      <c r="B54" s="164" t="s">
        <v>150</v>
      </c>
      <c r="C54" s="164" t="s">
        <v>245</v>
      </c>
      <c r="D54" s="165">
        <v>0.0838926</v>
      </c>
      <c r="E54" s="166">
        <v>19.8</v>
      </c>
      <c r="F54" s="166">
        <v>42.37</v>
      </c>
      <c r="G54" s="167">
        <v>1100</v>
      </c>
      <c r="H54" s="166">
        <v>34.6</v>
      </c>
      <c r="I54" s="167">
        <v>670</v>
      </c>
      <c r="J54" s="166">
        <v>3.3</v>
      </c>
      <c r="K54" s="168">
        <v>0.31</v>
      </c>
      <c r="L54" s="168"/>
      <c r="M54" s="168">
        <v>8.5</v>
      </c>
      <c r="N54" s="168">
        <v>27.3</v>
      </c>
      <c r="O54" s="182" t="s">
        <v>164</v>
      </c>
      <c r="P54" s="164" t="s">
        <v>246</v>
      </c>
    </row>
    <row r="55" spans="1:16" ht="14.25">
      <c r="A55" s="159" t="s">
        <v>247</v>
      </c>
      <c r="B55" s="159" t="s">
        <v>150</v>
      </c>
      <c r="C55" s="159" t="s">
        <v>248</v>
      </c>
      <c r="D55" s="160">
        <v>0.130464</v>
      </c>
      <c r="E55" s="161">
        <v>24</v>
      </c>
      <c r="F55" s="161">
        <v>54.36</v>
      </c>
      <c r="G55" s="162">
        <v>1400</v>
      </c>
      <c r="H55" s="161">
        <v>39.6</v>
      </c>
      <c r="I55" s="162">
        <v>950</v>
      </c>
      <c r="J55" s="161">
        <v>5.1</v>
      </c>
      <c r="K55" s="163">
        <v>0.42</v>
      </c>
      <c r="L55" s="163"/>
      <c r="M55" s="163">
        <v>9.05</v>
      </c>
      <c r="N55" s="163">
        <v>36.4</v>
      </c>
      <c r="O55" s="163" t="s">
        <v>152</v>
      </c>
      <c r="P55" s="159" t="s">
        <v>246</v>
      </c>
    </row>
    <row r="56" spans="1:16" ht="14.25">
      <c r="A56" s="164" t="s">
        <v>249</v>
      </c>
      <c r="B56" s="164" t="s">
        <v>150</v>
      </c>
      <c r="C56" s="164" t="s">
        <v>250</v>
      </c>
      <c r="D56" s="165">
        <v>0.16060800000000003</v>
      </c>
      <c r="E56" s="166">
        <v>42</v>
      </c>
      <c r="F56" s="166">
        <v>38.24</v>
      </c>
      <c r="G56" s="167">
        <v>2400</v>
      </c>
      <c r="H56" s="166">
        <v>39.3</v>
      </c>
      <c r="I56" s="167">
        <v>1630</v>
      </c>
      <c r="J56" s="166">
        <v>9.8</v>
      </c>
      <c r="K56" s="168">
        <v>0.6</v>
      </c>
      <c r="L56" s="168"/>
      <c r="M56" s="168">
        <v>8.45</v>
      </c>
      <c r="N56" s="168">
        <v>20</v>
      </c>
      <c r="O56" s="182">
        <v>8</v>
      </c>
      <c r="P56" s="164" t="s">
        <v>159</v>
      </c>
    </row>
    <row r="57" spans="1:16" ht="14.25">
      <c r="A57" s="159" t="s">
        <v>251</v>
      </c>
      <c r="B57" s="159" t="s">
        <v>150</v>
      </c>
      <c r="C57" s="159" t="s">
        <v>252</v>
      </c>
      <c r="D57" s="160">
        <v>0.316479</v>
      </c>
      <c r="E57" s="161">
        <v>41</v>
      </c>
      <c r="F57" s="161">
        <v>77.19</v>
      </c>
      <c r="G57" s="162">
        <v>2140</v>
      </c>
      <c r="H57" s="161">
        <v>47</v>
      </c>
      <c r="I57" s="162">
        <v>1927</v>
      </c>
      <c r="J57" s="161">
        <v>9.8</v>
      </c>
      <c r="K57" s="163">
        <v>0.79</v>
      </c>
      <c r="L57" s="163"/>
      <c r="M57" s="163">
        <v>9.8</v>
      </c>
      <c r="N57" s="163">
        <v>42.5</v>
      </c>
      <c r="O57" s="163">
        <v>8</v>
      </c>
      <c r="P57" s="159" t="s">
        <v>159</v>
      </c>
    </row>
    <row r="58" spans="1:16" ht="14.25">
      <c r="A58" s="164" t="s">
        <v>253</v>
      </c>
      <c r="B58" s="164" t="s">
        <v>150</v>
      </c>
      <c r="C58" s="164" t="s">
        <v>254</v>
      </c>
      <c r="D58" s="165">
        <v>0.19795000000000001</v>
      </c>
      <c r="E58" s="166">
        <v>37</v>
      </c>
      <c r="F58" s="166">
        <v>53.5</v>
      </c>
      <c r="G58" s="167">
        <v>2000</v>
      </c>
      <c r="H58" s="166">
        <v>41.8</v>
      </c>
      <c r="I58" s="167">
        <v>1550</v>
      </c>
      <c r="J58" s="166">
        <v>8.5</v>
      </c>
      <c r="K58" s="168">
        <v>0.64</v>
      </c>
      <c r="L58" s="168"/>
      <c r="M58" s="168">
        <v>8.45</v>
      </c>
      <c r="N58" s="168">
        <v>31.5</v>
      </c>
      <c r="O58" s="182">
        <v>8</v>
      </c>
      <c r="P58" s="164" t="s">
        <v>159</v>
      </c>
    </row>
    <row r="59" spans="1:16" ht="14.25">
      <c r="A59" s="159" t="s">
        <v>255</v>
      </c>
      <c r="B59" s="159" t="s">
        <v>150</v>
      </c>
      <c r="C59" s="159" t="s">
        <v>256</v>
      </c>
      <c r="D59" s="160">
        <v>0.600538</v>
      </c>
      <c r="E59" s="161">
        <v>86</v>
      </c>
      <c r="F59" s="161">
        <v>69.83</v>
      </c>
      <c r="G59" s="162">
        <v>4300</v>
      </c>
      <c r="H59" s="161">
        <v>48.2</v>
      </c>
      <c r="I59" s="162">
        <v>4145</v>
      </c>
      <c r="J59" s="161">
        <v>22</v>
      </c>
      <c r="K59" s="163">
        <v>1.65</v>
      </c>
      <c r="L59" s="163"/>
      <c r="M59" s="163">
        <v>9.6</v>
      </c>
      <c r="N59" s="163">
        <v>39.4</v>
      </c>
      <c r="O59" s="163">
        <v>10</v>
      </c>
      <c r="P59" s="159" t="s">
        <v>159</v>
      </c>
    </row>
    <row r="60" spans="1:16" ht="14.25">
      <c r="A60" s="164" t="s">
        <v>257</v>
      </c>
      <c r="B60" s="164" t="s">
        <v>150</v>
      </c>
      <c r="C60" s="164" t="s">
        <v>258</v>
      </c>
      <c r="D60" s="165">
        <v>0.8207340000000001</v>
      </c>
      <c r="E60" s="166">
        <v>111</v>
      </c>
      <c r="F60" s="166">
        <v>73.94</v>
      </c>
      <c r="G60" s="167">
        <v>4690</v>
      </c>
      <c r="H60" s="166">
        <v>58</v>
      </c>
      <c r="I60" s="167">
        <v>6440</v>
      </c>
      <c r="J60" s="166">
        <v>34</v>
      </c>
      <c r="K60" s="168">
        <v>3.1</v>
      </c>
      <c r="L60" s="168"/>
      <c r="M60" s="168">
        <v>13.7</v>
      </c>
      <c r="N60" s="168">
        <v>44.5</v>
      </c>
      <c r="O60" s="182" t="s">
        <v>184</v>
      </c>
      <c r="P60" s="164" t="s">
        <v>159</v>
      </c>
    </row>
    <row r="61" spans="1:16" ht="14.25">
      <c r="A61" s="159" t="s">
        <v>259</v>
      </c>
      <c r="B61" s="159" t="s">
        <v>150</v>
      </c>
      <c r="C61" s="159" t="s">
        <v>260</v>
      </c>
      <c r="D61" s="160">
        <v>1.5854115</v>
      </c>
      <c r="E61" s="161">
        <v>118.5</v>
      </c>
      <c r="F61" s="161">
        <v>133.79</v>
      </c>
      <c r="G61" s="162">
        <v>4400</v>
      </c>
      <c r="H61" s="161">
        <v>67.5</v>
      </c>
      <c r="I61" s="162">
        <v>8002</v>
      </c>
      <c r="J61" s="161">
        <v>41</v>
      </c>
      <c r="K61" s="163">
        <v>3.5</v>
      </c>
      <c r="L61" s="163"/>
      <c r="M61" s="163">
        <v>16.6</v>
      </c>
      <c r="N61" s="163">
        <v>88.8</v>
      </c>
      <c r="O61" s="163" t="s">
        <v>261</v>
      </c>
      <c r="P61" s="159" t="s">
        <v>159</v>
      </c>
    </row>
    <row r="62" spans="1:16" ht="14.25">
      <c r="A62" s="164" t="s">
        <v>262</v>
      </c>
      <c r="B62" s="164" t="s">
        <v>150</v>
      </c>
      <c r="C62" s="164" t="s">
        <v>263</v>
      </c>
      <c r="D62" s="165">
        <v>1.3343226000000001</v>
      </c>
      <c r="E62" s="166">
        <v>101.4</v>
      </c>
      <c r="F62" s="166">
        <v>131.59</v>
      </c>
      <c r="G62" s="167">
        <v>3800</v>
      </c>
      <c r="H62" s="166">
        <v>67.1</v>
      </c>
      <c r="I62" s="167">
        <v>6804</v>
      </c>
      <c r="J62" s="166">
        <v>36</v>
      </c>
      <c r="K62" s="168">
        <v>2.85</v>
      </c>
      <c r="L62" s="168"/>
      <c r="M62" s="168">
        <v>15.7</v>
      </c>
      <c r="N62" s="168">
        <v>88.7</v>
      </c>
      <c r="O62" s="182">
        <v>12</v>
      </c>
      <c r="P62" s="164" t="s">
        <v>159</v>
      </c>
    </row>
    <row r="63" spans="1:16" ht="14.25">
      <c r="A63" s="159" t="s">
        <v>264</v>
      </c>
      <c r="B63" s="159" t="s">
        <v>150</v>
      </c>
      <c r="C63" s="159" t="s">
        <v>265</v>
      </c>
      <c r="D63" s="160">
        <v>1.6592</v>
      </c>
      <c r="E63" s="161">
        <v>122</v>
      </c>
      <c r="F63" s="161">
        <v>136</v>
      </c>
      <c r="G63" s="162">
        <v>3950</v>
      </c>
      <c r="H63" s="161">
        <v>68</v>
      </c>
      <c r="I63" s="162">
        <v>8350</v>
      </c>
      <c r="J63" s="161">
        <v>43</v>
      </c>
      <c r="K63" s="163">
        <v>4.2</v>
      </c>
      <c r="L63" s="163"/>
      <c r="M63" s="163"/>
      <c r="N63" s="163"/>
      <c r="O63" s="163"/>
      <c r="P63" s="159"/>
    </row>
    <row r="64" spans="1:16" ht="14.25">
      <c r="A64" s="164" t="s">
        <v>266</v>
      </c>
      <c r="B64" s="164" t="s">
        <v>150</v>
      </c>
      <c r="C64" s="164" t="s">
        <v>267</v>
      </c>
      <c r="D64" s="165">
        <v>2.330112</v>
      </c>
      <c r="E64" s="166">
        <v>148</v>
      </c>
      <c r="F64" s="166">
        <v>157.44</v>
      </c>
      <c r="G64" s="167">
        <v>4860</v>
      </c>
      <c r="H64" s="166">
        <v>77</v>
      </c>
      <c r="I64" s="167">
        <v>11300</v>
      </c>
      <c r="J64" s="166">
        <v>60</v>
      </c>
      <c r="K64" s="168">
        <v>4.8</v>
      </c>
      <c r="L64" s="168"/>
      <c r="M64" s="168">
        <v>17.3</v>
      </c>
      <c r="N64" s="168">
        <v>108</v>
      </c>
      <c r="O64" s="182">
        <v>12</v>
      </c>
      <c r="P64" s="164" t="s">
        <v>159</v>
      </c>
    </row>
    <row r="65" spans="1:16" ht="14.25">
      <c r="A65" s="159" t="s">
        <v>268</v>
      </c>
      <c r="B65" s="159" t="s">
        <v>150</v>
      </c>
      <c r="C65" s="159" t="s">
        <v>269</v>
      </c>
      <c r="D65" s="160">
        <v>5.52184</v>
      </c>
      <c r="E65" s="161">
        <v>230</v>
      </c>
      <c r="F65" s="161">
        <v>240.08</v>
      </c>
      <c r="G65" s="162">
        <v>6110</v>
      </c>
      <c r="H65" s="161">
        <v>94</v>
      </c>
      <c r="I65" s="162">
        <v>21600</v>
      </c>
      <c r="J65" s="161">
        <v>115</v>
      </c>
      <c r="K65" s="163">
        <v>9.2</v>
      </c>
      <c r="L65" s="163"/>
      <c r="M65" s="163">
        <v>21.3</v>
      </c>
      <c r="N65" s="163">
        <v>170</v>
      </c>
      <c r="O65" s="163">
        <v>12</v>
      </c>
      <c r="P65" s="159" t="s">
        <v>159</v>
      </c>
    </row>
    <row r="66" spans="1:16" ht="14.25">
      <c r="A66" s="164" t="s">
        <v>270</v>
      </c>
      <c r="B66" s="164" t="s">
        <v>150</v>
      </c>
      <c r="C66" s="164" t="s">
        <v>271</v>
      </c>
      <c r="D66" s="165">
        <v>9.802442000000001</v>
      </c>
      <c r="E66" s="166">
        <v>247</v>
      </c>
      <c r="F66" s="166">
        <v>396.86</v>
      </c>
      <c r="G66" s="167">
        <v>5670</v>
      </c>
      <c r="H66" s="166">
        <v>109</v>
      </c>
      <c r="I66" s="167">
        <v>27100</v>
      </c>
      <c r="J66" s="166">
        <v>139</v>
      </c>
      <c r="K66" s="168">
        <v>1.25</v>
      </c>
      <c r="L66" s="168"/>
      <c r="M66" s="168">
        <v>23.8</v>
      </c>
      <c r="N66" s="168">
        <v>294</v>
      </c>
      <c r="O66" s="182">
        <v>12</v>
      </c>
      <c r="P66" s="164" t="s">
        <v>159</v>
      </c>
    </row>
    <row r="67" spans="1:16" ht="14.25">
      <c r="A67" s="183" t="s">
        <v>272</v>
      </c>
      <c r="B67" s="183" t="s">
        <v>150</v>
      </c>
      <c r="C67" s="183" t="s">
        <v>273</v>
      </c>
      <c r="D67" s="184">
        <v>37.7618</v>
      </c>
      <c r="E67" s="185">
        <v>698</v>
      </c>
      <c r="F67" s="185">
        <v>541</v>
      </c>
      <c r="G67" s="186">
        <v>10500</v>
      </c>
      <c r="H67" s="185">
        <v>145</v>
      </c>
      <c r="I67" s="186">
        <v>101530</v>
      </c>
      <c r="J67" s="185">
        <v>519</v>
      </c>
      <c r="K67" s="187" t="s">
        <v>274</v>
      </c>
      <c r="L67" s="187"/>
      <c r="M67" s="187"/>
      <c r="N67" s="187"/>
      <c r="O67" s="187"/>
      <c r="P67" s="183"/>
    </row>
    <row r="68" spans="1:16" ht="14.25">
      <c r="A68" s="153" t="s">
        <v>275</v>
      </c>
      <c r="B68" s="174"/>
      <c r="C68" s="174"/>
      <c r="D68" s="175"/>
      <c r="E68" s="176"/>
      <c r="F68" s="176"/>
      <c r="G68" s="177"/>
      <c r="H68" s="176"/>
      <c r="I68" s="177"/>
      <c r="J68" s="176"/>
      <c r="K68" s="178"/>
      <c r="L68" s="178"/>
      <c r="M68" s="178"/>
      <c r="N68" s="178"/>
      <c r="O68" s="178"/>
      <c r="P68" s="179"/>
    </row>
    <row r="69" spans="1:16" ht="14.25">
      <c r="A69" s="159" t="s">
        <v>276</v>
      </c>
      <c r="B69" s="159" t="s">
        <v>138</v>
      </c>
      <c r="C69" s="159" t="s">
        <v>277</v>
      </c>
      <c r="D69" s="160">
        <v>0.010165</v>
      </c>
      <c r="E69" s="161">
        <v>10.7</v>
      </c>
      <c r="F69" s="161">
        <v>9.5</v>
      </c>
      <c r="G69" s="162">
        <v>1120</v>
      </c>
      <c r="H69" s="161">
        <v>15.5</v>
      </c>
      <c r="I69" s="162">
        <v>165</v>
      </c>
      <c r="J69" s="161">
        <v>0.8</v>
      </c>
      <c r="K69" s="163">
        <v>0.03</v>
      </c>
      <c r="L69" s="163"/>
      <c r="M69" s="163">
        <v>3.4</v>
      </c>
      <c r="N69" s="163"/>
      <c r="O69" s="163">
        <v>6</v>
      </c>
      <c r="P69" s="159" t="s">
        <v>140</v>
      </c>
    </row>
    <row r="70" spans="1:16" ht="14.25">
      <c r="A70" s="164" t="s">
        <v>278</v>
      </c>
      <c r="B70" s="164" t="s">
        <v>138</v>
      </c>
      <c r="C70" s="164" t="s">
        <v>279</v>
      </c>
      <c r="D70" s="165">
        <v>0.025504100000000005</v>
      </c>
      <c r="E70" s="166">
        <v>11.3</v>
      </c>
      <c r="F70" s="166">
        <v>22.57</v>
      </c>
      <c r="G70" s="167">
        <v>1025</v>
      </c>
      <c r="H70" s="166">
        <v>19.3</v>
      </c>
      <c r="I70" s="167">
        <v>215</v>
      </c>
      <c r="J70" s="166">
        <v>1.1</v>
      </c>
      <c r="K70" s="168">
        <v>0.04</v>
      </c>
      <c r="L70" s="168"/>
      <c r="M70" s="168">
        <v>5.6</v>
      </c>
      <c r="N70" s="168"/>
      <c r="O70" s="168">
        <v>8</v>
      </c>
      <c r="P70" s="164" t="s">
        <v>140</v>
      </c>
    </row>
    <row r="71" spans="1:16" ht="14.25">
      <c r="A71" s="159" t="s">
        <v>280</v>
      </c>
      <c r="B71" s="159" t="s">
        <v>138</v>
      </c>
      <c r="C71" s="159" t="s">
        <v>281</v>
      </c>
      <c r="D71" s="160">
        <v>0.04563</v>
      </c>
      <c r="E71" s="161">
        <v>19.5</v>
      </c>
      <c r="F71" s="161">
        <v>23.4</v>
      </c>
      <c r="G71" s="162">
        <v>1475</v>
      </c>
      <c r="H71" s="161">
        <v>24.2</v>
      </c>
      <c r="I71" s="162">
        <v>472</v>
      </c>
      <c r="J71" s="161">
        <v>2.4</v>
      </c>
      <c r="K71" s="163">
        <v>0.09</v>
      </c>
      <c r="L71" s="163"/>
      <c r="M71" s="163">
        <v>7.6</v>
      </c>
      <c r="N71" s="163"/>
      <c r="O71" s="163">
        <v>10</v>
      </c>
      <c r="P71" s="159" t="s">
        <v>140</v>
      </c>
    </row>
    <row r="72" spans="1:16" ht="14.25">
      <c r="A72" s="164" t="s">
        <v>282</v>
      </c>
      <c r="B72" s="164" t="s">
        <v>138</v>
      </c>
      <c r="C72" s="164" t="s">
        <v>283</v>
      </c>
      <c r="D72" s="165">
        <v>0.12098300000000002</v>
      </c>
      <c r="E72" s="166">
        <v>33.7</v>
      </c>
      <c r="F72" s="166">
        <v>35.9</v>
      </c>
      <c r="G72" s="167">
        <v>2230</v>
      </c>
      <c r="H72" s="166">
        <v>29.5</v>
      </c>
      <c r="I72" s="167">
        <v>999</v>
      </c>
      <c r="J72" s="166">
        <v>5</v>
      </c>
      <c r="K72" s="168">
        <v>0.16</v>
      </c>
      <c r="L72" s="168"/>
      <c r="M72" s="168">
        <v>9.45</v>
      </c>
      <c r="N72" s="168"/>
      <c r="O72" s="168">
        <v>8</v>
      </c>
      <c r="P72" s="164" t="s">
        <v>140</v>
      </c>
    </row>
    <row r="73" spans="1:16" ht="14.25">
      <c r="A73" s="183" t="s">
        <v>284</v>
      </c>
      <c r="B73" s="183" t="s">
        <v>138</v>
      </c>
      <c r="C73" s="183" t="s">
        <v>285</v>
      </c>
      <c r="D73" s="184">
        <v>0.499745</v>
      </c>
      <c r="E73" s="185">
        <v>78.7</v>
      </c>
      <c r="F73" s="185">
        <v>63.5</v>
      </c>
      <c r="G73" s="186">
        <v>3950</v>
      </c>
      <c r="H73" s="185">
        <v>41.1</v>
      </c>
      <c r="I73" s="186">
        <v>3230</v>
      </c>
      <c r="J73" s="185">
        <v>16</v>
      </c>
      <c r="K73" s="187">
        <v>0.5</v>
      </c>
      <c r="L73" s="187"/>
      <c r="M73" s="187">
        <v>12.45</v>
      </c>
      <c r="N73" s="187"/>
      <c r="O73" s="187">
        <v>10</v>
      </c>
      <c r="P73" s="183" t="s">
        <v>140</v>
      </c>
    </row>
    <row r="74" spans="1:16" ht="14.25">
      <c r="A74" s="153" t="s">
        <v>286</v>
      </c>
      <c r="B74" s="174"/>
      <c r="C74" s="174"/>
      <c r="D74" s="175"/>
      <c r="E74" s="176"/>
      <c r="F74" s="176"/>
      <c r="G74" s="177"/>
      <c r="H74" s="176"/>
      <c r="I74" s="177"/>
      <c r="J74" s="176"/>
      <c r="K74" s="178"/>
      <c r="L74" s="178"/>
      <c r="M74" s="178"/>
      <c r="N74" s="178"/>
      <c r="O74" s="178"/>
      <c r="P74" s="179"/>
    </row>
    <row r="75" spans="1:16" ht="14.25">
      <c r="A75" s="159" t="s">
        <v>287</v>
      </c>
      <c r="B75" s="159" t="s">
        <v>288</v>
      </c>
      <c r="C75" s="159" t="s">
        <v>289</v>
      </c>
      <c r="D75" s="160">
        <v>0.007220910000000001</v>
      </c>
      <c r="E75" s="161">
        <v>9.39</v>
      </c>
      <c r="F75" s="161">
        <v>7.69</v>
      </c>
      <c r="G75" s="162">
        <v>1000</v>
      </c>
      <c r="H75" s="161">
        <v>17.8</v>
      </c>
      <c r="I75" s="162">
        <v>167</v>
      </c>
      <c r="J75" s="161">
        <v>1.1</v>
      </c>
      <c r="K75" s="163">
        <v>0.072</v>
      </c>
      <c r="L75" s="163">
        <v>5.4</v>
      </c>
      <c r="M75" s="163"/>
      <c r="N75" s="163"/>
      <c r="O75" s="163"/>
      <c r="P75" s="159"/>
    </row>
    <row r="76" spans="1:16" ht="14.25">
      <c r="A76" s="164" t="s">
        <v>290</v>
      </c>
      <c r="B76" s="164" t="s">
        <v>288</v>
      </c>
      <c r="C76" s="164" t="s">
        <v>291</v>
      </c>
      <c r="D76" s="165">
        <v>0.02875</v>
      </c>
      <c r="E76" s="166">
        <v>12.5</v>
      </c>
      <c r="F76" s="166">
        <v>23</v>
      </c>
      <c r="G76" s="167">
        <v>870</v>
      </c>
      <c r="H76" s="166">
        <v>30.6</v>
      </c>
      <c r="I76" s="167">
        <v>382</v>
      </c>
      <c r="J76" s="166">
        <v>2.1</v>
      </c>
      <c r="K76" s="168">
        <v>0.14</v>
      </c>
      <c r="L76" s="168">
        <v>8.6</v>
      </c>
      <c r="M76" s="168">
        <v>6.9</v>
      </c>
      <c r="N76" s="168"/>
      <c r="O76" s="168">
        <v>10</v>
      </c>
      <c r="P76" s="164" t="s">
        <v>140</v>
      </c>
    </row>
    <row r="77" spans="1:16" ht="14.25">
      <c r="A77" s="159" t="s">
        <v>292</v>
      </c>
      <c r="B77" s="159" t="s">
        <v>288</v>
      </c>
      <c r="C77" s="159" t="s">
        <v>293</v>
      </c>
      <c r="D77" s="160">
        <v>0.042636</v>
      </c>
      <c r="E77" s="161">
        <v>22.8</v>
      </c>
      <c r="F77" s="161">
        <v>18.7</v>
      </c>
      <c r="G77" s="162">
        <v>1150</v>
      </c>
      <c r="H77" s="161">
        <v>40.2</v>
      </c>
      <c r="I77" s="162">
        <v>917</v>
      </c>
      <c r="J77" s="161">
        <v>4.5</v>
      </c>
      <c r="K77" s="163">
        <v>0.35</v>
      </c>
      <c r="L77" s="163">
        <v>20</v>
      </c>
      <c r="M77" s="163"/>
      <c r="N77" s="163"/>
      <c r="O77" s="163"/>
      <c r="P77" s="159"/>
    </row>
    <row r="78" spans="1:16" ht="14.25">
      <c r="A78" s="164" t="s">
        <v>294</v>
      </c>
      <c r="B78" s="164" t="s">
        <v>288</v>
      </c>
      <c r="C78" s="164" t="s">
        <v>295</v>
      </c>
      <c r="D78" s="165">
        <v>0.123488</v>
      </c>
      <c r="E78" s="166">
        <v>22.7</v>
      </c>
      <c r="F78" s="166">
        <v>54.4</v>
      </c>
      <c r="G78" s="167">
        <v>940</v>
      </c>
      <c r="H78" s="166">
        <v>46.1</v>
      </c>
      <c r="I78" s="167">
        <v>10473</v>
      </c>
      <c r="J78" s="166">
        <v>5.3</v>
      </c>
      <c r="K78" s="168">
        <v>0.4</v>
      </c>
      <c r="L78" s="168">
        <v>27</v>
      </c>
      <c r="M78" s="168">
        <v>12.2</v>
      </c>
      <c r="N78" s="168"/>
      <c r="O78" s="168">
        <v>12</v>
      </c>
      <c r="P78" s="164" t="s">
        <v>140</v>
      </c>
    </row>
    <row r="79" spans="1:16" ht="14.25">
      <c r="A79" s="159" t="s">
        <v>296</v>
      </c>
      <c r="B79" s="159" t="s">
        <v>288</v>
      </c>
      <c r="C79" s="159" t="s">
        <v>297</v>
      </c>
      <c r="D79" s="160">
        <v>0.39672</v>
      </c>
      <c r="E79" s="161">
        <v>46.4</v>
      </c>
      <c r="F79" s="161">
        <v>85.5</v>
      </c>
      <c r="G79" s="162">
        <v>1560</v>
      </c>
      <c r="H79" s="161">
        <v>59.2</v>
      </c>
      <c r="I79" s="162">
        <v>2748</v>
      </c>
      <c r="J79" s="161">
        <v>13</v>
      </c>
      <c r="K79" s="163">
        <v>1.11</v>
      </c>
      <c r="L79" s="163">
        <v>63</v>
      </c>
      <c r="M79" s="163">
        <v>14.7</v>
      </c>
      <c r="N79" s="163"/>
      <c r="O79" s="163">
        <v>12</v>
      </c>
      <c r="P79" s="159" t="s">
        <v>140</v>
      </c>
    </row>
    <row r="80" spans="1:16" ht="14.25">
      <c r="A80" s="164" t="s">
        <v>298</v>
      </c>
      <c r="B80" s="164" t="s">
        <v>288</v>
      </c>
      <c r="C80" s="164" t="s">
        <v>299</v>
      </c>
      <c r="D80" s="165">
        <v>0.206793</v>
      </c>
      <c r="E80" s="166">
        <v>33.3</v>
      </c>
      <c r="F80" s="166">
        <v>62.1</v>
      </c>
      <c r="G80" s="167">
        <v>1560</v>
      </c>
      <c r="H80" s="166">
        <v>46.2</v>
      </c>
      <c r="I80" s="167">
        <v>1539</v>
      </c>
      <c r="J80" s="166">
        <v>11</v>
      </c>
      <c r="K80" s="168">
        <v>0.65</v>
      </c>
      <c r="L80" s="168">
        <v>45</v>
      </c>
      <c r="M80" s="168">
        <v>14.7</v>
      </c>
      <c r="N80" s="168"/>
      <c r="O80" s="168">
        <v>12</v>
      </c>
      <c r="P80" s="164" t="s">
        <v>140</v>
      </c>
    </row>
    <row r="81" spans="1:16" ht="14.25">
      <c r="A81" s="159" t="s">
        <v>300</v>
      </c>
      <c r="B81" s="159" t="s">
        <v>288</v>
      </c>
      <c r="C81" s="159" t="s">
        <v>301</v>
      </c>
      <c r="D81" s="160">
        <v>0.5896800000000001</v>
      </c>
      <c r="E81" s="161">
        <v>54.6</v>
      </c>
      <c r="F81" s="161">
        <v>108</v>
      </c>
      <c r="G81" s="162">
        <v>1540</v>
      </c>
      <c r="H81" s="161">
        <v>73.1</v>
      </c>
      <c r="I81" s="162">
        <v>3995</v>
      </c>
      <c r="J81" s="161">
        <v>18</v>
      </c>
      <c r="K81" s="163">
        <v>1.56</v>
      </c>
      <c r="L81" s="163">
        <v>80</v>
      </c>
      <c r="M81" s="163">
        <v>20.5</v>
      </c>
      <c r="N81" s="163"/>
      <c r="O81" s="163">
        <v>12</v>
      </c>
      <c r="P81" s="159" t="s">
        <v>140</v>
      </c>
    </row>
    <row r="82" spans="1:16" ht="14.25">
      <c r="A82" s="169" t="s">
        <v>302</v>
      </c>
      <c r="B82" s="169" t="s">
        <v>288</v>
      </c>
      <c r="C82" s="169" t="s">
        <v>303</v>
      </c>
      <c r="D82" s="170">
        <v>0.7137</v>
      </c>
      <c r="E82" s="171">
        <v>61</v>
      </c>
      <c r="F82" s="171">
        <v>117</v>
      </c>
      <c r="G82" s="172">
        <v>1570</v>
      </c>
      <c r="H82" s="171">
        <v>81.6</v>
      </c>
      <c r="I82" s="172">
        <v>5035</v>
      </c>
      <c r="J82" s="171">
        <v>23</v>
      </c>
      <c r="K82" s="173">
        <v>2.03</v>
      </c>
      <c r="L82" s="173">
        <v>85</v>
      </c>
      <c r="M82" s="173">
        <v>22.8</v>
      </c>
      <c r="N82" s="173"/>
      <c r="O82" s="173">
        <v>12</v>
      </c>
      <c r="P82" s="169" t="s">
        <v>140</v>
      </c>
    </row>
    <row r="83" spans="1:16" ht="14.25">
      <c r="A83" s="153" t="s">
        <v>304</v>
      </c>
      <c r="B83" s="174"/>
      <c r="C83" s="174"/>
      <c r="D83" s="175"/>
      <c r="E83" s="176"/>
      <c r="F83" s="176"/>
      <c r="G83" s="177"/>
      <c r="H83" s="176"/>
      <c r="I83" s="177"/>
      <c r="J83" s="176"/>
      <c r="K83" s="178"/>
      <c r="L83" s="178"/>
      <c r="M83" s="178"/>
      <c r="N83" s="178"/>
      <c r="O83" s="178"/>
      <c r="P83" s="179"/>
    </row>
    <row r="84" spans="1:16" ht="14.25">
      <c r="A84" s="159" t="s">
        <v>305</v>
      </c>
      <c r="B84" s="159" t="s">
        <v>306</v>
      </c>
      <c r="C84" s="159" t="s">
        <v>307</v>
      </c>
      <c r="D84" s="160">
        <v>0.0059368</v>
      </c>
      <c r="E84" s="161">
        <v>8.2</v>
      </c>
      <c r="F84" s="161">
        <v>7.24</v>
      </c>
      <c r="G84" s="162">
        <v>1270</v>
      </c>
      <c r="H84" s="161">
        <v>13.7</v>
      </c>
      <c r="I84" s="162">
        <v>111.8</v>
      </c>
      <c r="J84" s="161">
        <v>0.55</v>
      </c>
      <c r="K84" s="163"/>
      <c r="L84" s="163"/>
      <c r="M84" s="163"/>
      <c r="N84" s="163"/>
      <c r="O84" s="163"/>
      <c r="P84" s="159"/>
    </row>
    <row r="85" spans="1:16" ht="14.25">
      <c r="A85" s="164" t="s">
        <v>308</v>
      </c>
      <c r="B85" s="164" t="s">
        <v>288</v>
      </c>
      <c r="C85" s="164" t="s">
        <v>309</v>
      </c>
      <c r="D85" s="165">
        <v>0.005420800000000001</v>
      </c>
      <c r="E85" s="166">
        <v>8.47</v>
      </c>
      <c r="F85" s="166">
        <v>6.4</v>
      </c>
      <c r="G85" s="167">
        <v>610</v>
      </c>
      <c r="H85" s="166">
        <v>14.2</v>
      </c>
      <c r="I85" s="167">
        <v>120</v>
      </c>
      <c r="J85" s="166">
        <v>0.6</v>
      </c>
      <c r="K85" s="168"/>
      <c r="L85" s="168">
        <v>3.9</v>
      </c>
      <c r="M85" s="168">
        <v>2.2</v>
      </c>
      <c r="N85" s="168"/>
      <c r="O85" s="168">
        <v>8</v>
      </c>
      <c r="P85" s="164" t="s">
        <v>159</v>
      </c>
    </row>
    <row r="86" spans="1:16" ht="14.25">
      <c r="A86" s="159" t="s">
        <v>310</v>
      </c>
      <c r="B86" s="159" t="s">
        <v>288</v>
      </c>
      <c r="C86" s="159" t="s">
        <v>311</v>
      </c>
      <c r="D86" s="160">
        <v>0.007803900000000001</v>
      </c>
      <c r="E86" s="161">
        <v>11.7</v>
      </c>
      <c r="F86" s="161">
        <v>6.67</v>
      </c>
      <c r="G86" s="162">
        <v>870</v>
      </c>
      <c r="H86" s="161">
        <v>14</v>
      </c>
      <c r="I86" s="162">
        <v>174</v>
      </c>
      <c r="J86" s="161">
        <v>0.85</v>
      </c>
      <c r="K86" s="163"/>
      <c r="L86" s="188">
        <v>5</v>
      </c>
      <c r="M86" s="163">
        <v>1.9</v>
      </c>
      <c r="N86" s="163"/>
      <c r="O86" s="163">
        <v>10</v>
      </c>
      <c r="P86" s="159" t="s">
        <v>159</v>
      </c>
    </row>
    <row r="87" spans="1:16" ht="14.25">
      <c r="A87" s="164" t="s">
        <v>312</v>
      </c>
      <c r="B87" s="164" t="s">
        <v>288</v>
      </c>
      <c r="C87" s="164" t="s">
        <v>313</v>
      </c>
      <c r="D87" s="165">
        <v>0.019008000000000004</v>
      </c>
      <c r="E87" s="166">
        <v>17.6</v>
      </c>
      <c r="F87" s="166">
        <v>10.8</v>
      </c>
      <c r="G87" s="167">
        <v>1280</v>
      </c>
      <c r="H87" s="166">
        <v>19</v>
      </c>
      <c r="I87" s="167">
        <v>333</v>
      </c>
      <c r="J87" s="166">
        <v>1</v>
      </c>
      <c r="K87" s="168"/>
      <c r="L87" s="168">
        <v>9.5</v>
      </c>
      <c r="M87" s="168">
        <v>1.9</v>
      </c>
      <c r="N87" s="168"/>
      <c r="O87" s="168">
        <v>10</v>
      </c>
      <c r="P87" s="164"/>
    </row>
    <row r="88" spans="1:16" ht="14.25">
      <c r="A88" s="159" t="s">
        <v>314</v>
      </c>
      <c r="B88" s="159" t="s">
        <v>306</v>
      </c>
      <c r="C88" s="159" t="s">
        <v>315</v>
      </c>
      <c r="D88" s="160">
        <v>0.19851840000000004</v>
      </c>
      <c r="E88" s="161">
        <v>28.8</v>
      </c>
      <c r="F88" s="161">
        <v>68.93</v>
      </c>
      <c r="G88" s="162">
        <v>1140</v>
      </c>
      <c r="H88" s="161">
        <v>54.9</v>
      </c>
      <c r="I88" s="162">
        <v>1584.1</v>
      </c>
      <c r="J88" s="161">
        <v>1.8</v>
      </c>
      <c r="K88" s="163"/>
      <c r="L88" s="163"/>
      <c r="M88" s="163"/>
      <c r="N88" s="163"/>
      <c r="O88" s="163"/>
      <c r="P88" s="159"/>
    </row>
    <row r="89" spans="1:16" ht="14.25">
      <c r="A89" s="164" t="s">
        <v>316</v>
      </c>
      <c r="B89" s="164" t="s">
        <v>150</v>
      </c>
      <c r="C89" s="164" t="s">
        <v>317</v>
      </c>
      <c r="D89" s="165">
        <v>0.35571200000000003</v>
      </c>
      <c r="E89" s="166">
        <v>44.8</v>
      </c>
      <c r="F89" s="166">
        <v>79.4</v>
      </c>
      <c r="G89" s="167">
        <v>1920</v>
      </c>
      <c r="H89" s="166">
        <v>48.2</v>
      </c>
      <c r="I89" s="167">
        <v>2160</v>
      </c>
      <c r="J89" s="166">
        <v>11</v>
      </c>
      <c r="K89" s="168">
        <v>0.98</v>
      </c>
      <c r="L89" s="168">
        <v>87</v>
      </c>
      <c r="M89" s="168">
        <v>10.6</v>
      </c>
      <c r="N89" s="168">
        <v>48.4</v>
      </c>
      <c r="O89" s="168">
        <v>10</v>
      </c>
      <c r="P89" s="164" t="s">
        <v>159</v>
      </c>
    </row>
    <row r="90" spans="1:16" ht="14.25">
      <c r="A90" s="159" t="s">
        <v>318</v>
      </c>
      <c r="B90" s="159" t="s">
        <v>306</v>
      </c>
      <c r="C90" s="159" t="s">
        <v>319</v>
      </c>
      <c r="D90" s="160">
        <v>0.0734448</v>
      </c>
      <c r="E90" s="161">
        <v>52.8</v>
      </c>
      <c r="F90" s="161">
        <v>13.91</v>
      </c>
      <c r="G90" s="162">
        <v>4330</v>
      </c>
      <c r="H90" s="161">
        <v>27.2</v>
      </c>
      <c r="I90" s="162">
        <v>1435.7</v>
      </c>
      <c r="J90" s="161">
        <v>8.1</v>
      </c>
      <c r="K90" s="163"/>
      <c r="L90" s="163"/>
      <c r="M90" s="163"/>
      <c r="N90" s="163"/>
      <c r="O90" s="163"/>
      <c r="P90" s="159"/>
    </row>
    <row r="91" spans="1:16" ht="14.25">
      <c r="A91" s="164" t="s">
        <v>320</v>
      </c>
      <c r="B91" s="164" t="s">
        <v>150</v>
      </c>
      <c r="C91" s="164" t="s">
        <v>321</v>
      </c>
      <c r="D91" s="165">
        <v>0.93594</v>
      </c>
      <c r="E91" s="166">
        <v>82.1</v>
      </c>
      <c r="F91" s="166">
        <v>114</v>
      </c>
      <c r="G91" s="167">
        <v>2870</v>
      </c>
      <c r="H91" s="166">
        <v>64</v>
      </c>
      <c r="I91" s="167">
        <v>5257</v>
      </c>
      <c r="J91" s="166">
        <v>28</v>
      </c>
      <c r="K91" s="168">
        <v>2.3</v>
      </c>
      <c r="L91" s="168">
        <v>203</v>
      </c>
      <c r="M91" s="168">
        <v>16.1</v>
      </c>
      <c r="N91" s="168">
        <v>71.8</v>
      </c>
      <c r="O91" s="168" t="s">
        <v>322</v>
      </c>
      <c r="P91" s="164" t="s">
        <v>323</v>
      </c>
    </row>
    <row r="92" spans="1:16" ht="14.25">
      <c r="A92" s="159" t="s">
        <v>324</v>
      </c>
      <c r="B92" s="159" t="s">
        <v>150</v>
      </c>
      <c r="C92" s="159" t="s">
        <v>325</v>
      </c>
      <c r="D92" s="160">
        <v>1.2047200000000002</v>
      </c>
      <c r="E92" s="161">
        <v>81.4</v>
      </c>
      <c r="F92" s="161">
        <v>148</v>
      </c>
      <c r="G92" s="162">
        <v>2520</v>
      </c>
      <c r="H92" s="161">
        <v>75.5</v>
      </c>
      <c r="I92" s="162">
        <v>6143</v>
      </c>
      <c r="J92" s="161">
        <v>33</v>
      </c>
      <c r="K92" s="163">
        <v>2.7</v>
      </c>
      <c r="L92" s="163">
        <v>228</v>
      </c>
      <c r="M92" s="163">
        <v>21.8</v>
      </c>
      <c r="N92" s="163">
        <v>96.3</v>
      </c>
      <c r="O92" s="163" t="s">
        <v>322</v>
      </c>
      <c r="P92" s="159" t="s">
        <v>323</v>
      </c>
    </row>
    <row r="93" spans="1:16" ht="14.25">
      <c r="A93" s="164" t="s">
        <v>326</v>
      </c>
      <c r="B93" s="164" t="s">
        <v>306</v>
      </c>
      <c r="C93" s="164" t="s">
        <v>327</v>
      </c>
      <c r="D93" s="165">
        <v>0.8546250000000001</v>
      </c>
      <c r="E93" s="166">
        <v>107.5</v>
      </c>
      <c r="F93" s="166">
        <v>79.5</v>
      </c>
      <c r="G93" s="167">
        <v>4500</v>
      </c>
      <c r="H93" s="166">
        <v>45</v>
      </c>
      <c r="I93" s="167">
        <v>4833.8</v>
      </c>
      <c r="J93" s="166">
        <v>25</v>
      </c>
      <c r="K93" s="168"/>
      <c r="L93" s="168"/>
      <c r="M93" s="168"/>
      <c r="N93" s="168"/>
      <c r="O93" s="168"/>
      <c r="P93" s="164"/>
    </row>
    <row r="94" spans="1:16" ht="14.25">
      <c r="A94" s="159" t="s">
        <v>328</v>
      </c>
      <c r="B94" s="159" t="s">
        <v>306</v>
      </c>
      <c r="C94" s="159" t="s">
        <v>329</v>
      </c>
      <c r="D94" s="160">
        <v>1.356885</v>
      </c>
      <c r="E94" s="161">
        <v>85.5</v>
      </c>
      <c r="F94" s="161">
        <v>158.7</v>
      </c>
      <c r="G94" s="162">
        <v>2160</v>
      </c>
      <c r="H94" s="161">
        <v>75.4</v>
      </c>
      <c r="I94" s="162">
        <v>6673</v>
      </c>
      <c r="J94" s="161">
        <v>32</v>
      </c>
      <c r="K94" s="163"/>
      <c r="L94" s="163"/>
      <c r="M94" s="163"/>
      <c r="N94" s="163"/>
      <c r="O94" s="163"/>
      <c r="P94" s="159"/>
    </row>
    <row r="95" spans="1:16" ht="14.25">
      <c r="A95" s="164" t="s">
        <v>330</v>
      </c>
      <c r="B95" s="164" t="s">
        <v>306</v>
      </c>
      <c r="C95" s="164" t="s">
        <v>331</v>
      </c>
      <c r="D95" s="165">
        <v>1.61784</v>
      </c>
      <c r="E95" s="166">
        <v>107</v>
      </c>
      <c r="F95" s="166">
        <v>151.2</v>
      </c>
      <c r="G95" s="167">
        <v>3000</v>
      </c>
      <c r="H95" s="166">
        <v>72.8</v>
      </c>
      <c r="I95" s="167">
        <v>7790</v>
      </c>
      <c r="J95" s="166">
        <v>51</v>
      </c>
      <c r="K95" s="168"/>
      <c r="L95" s="168"/>
      <c r="M95" s="168">
        <v>26.4</v>
      </c>
      <c r="N95" s="168">
        <v>152.7</v>
      </c>
      <c r="O95" s="168">
        <v>12</v>
      </c>
      <c r="P95" s="164" t="s">
        <v>159</v>
      </c>
    </row>
    <row r="96" spans="1:16" ht="14.25">
      <c r="A96" s="159" t="s">
        <v>332</v>
      </c>
      <c r="B96" s="159" t="s">
        <v>150</v>
      </c>
      <c r="C96" s="159" t="s">
        <v>333</v>
      </c>
      <c r="D96" s="160">
        <v>2.3326000000000002</v>
      </c>
      <c r="E96" s="161">
        <v>107</v>
      </c>
      <c r="F96" s="161">
        <v>218</v>
      </c>
      <c r="G96" s="162">
        <v>2770</v>
      </c>
      <c r="H96" s="161">
        <v>90.8</v>
      </c>
      <c r="I96" s="162">
        <v>9682</v>
      </c>
      <c r="J96" s="161">
        <v>52</v>
      </c>
      <c r="K96" s="163">
        <v>4.2</v>
      </c>
      <c r="L96" s="163">
        <v>325</v>
      </c>
      <c r="M96" s="163">
        <v>26.1</v>
      </c>
      <c r="N96" s="163">
        <v>154.4</v>
      </c>
      <c r="O96" s="163" t="s">
        <v>334</v>
      </c>
      <c r="P96" s="159" t="s">
        <v>159</v>
      </c>
    </row>
    <row r="97" spans="1:16" ht="14.25">
      <c r="A97" s="164" t="s">
        <v>335</v>
      </c>
      <c r="B97" s="164" t="s">
        <v>336</v>
      </c>
      <c r="C97" s="164" t="s">
        <v>337</v>
      </c>
      <c r="D97" s="165">
        <v>2.77125</v>
      </c>
      <c r="E97" s="166">
        <v>125</v>
      </c>
      <c r="F97" s="166">
        <v>221.7</v>
      </c>
      <c r="G97" s="167">
        <v>3850</v>
      </c>
      <c r="H97" s="166">
        <v>84</v>
      </c>
      <c r="I97" s="167">
        <v>10530</v>
      </c>
      <c r="J97" s="166">
        <v>56</v>
      </c>
      <c r="K97" s="168"/>
      <c r="L97" s="168"/>
      <c r="M97" s="168">
        <v>28.2</v>
      </c>
      <c r="N97" s="168"/>
      <c r="O97" s="168">
        <v>12</v>
      </c>
      <c r="P97" s="164" t="s">
        <v>159</v>
      </c>
    </row>
    <row r="98" spans="1:16" ht="14.25">
      <c r="A98" s="159" t="s">
        <v>338</v>
      </c>
      <c r="B98" s="159" t="s">
        <v>336</v>
      </c>
      <c r="C98" s="159" t="s">
        <v>339</v>
      </c>
      <c r="D98" s="160">
        <v>3.4975</v>
      </c>
      <c r="E98" s="161">
        <v>125</v>
      </c>
      <c r="F98" s="161">
        <v>279.8</v>
      </c>
      <c r="G98" s="162">
        <v>3200</v>
      </c>
      <c r="H98" s="161">
        <v>96</v>
      </c>
      <c r="I98" s="162">
        <v>12000</v>
      </c>
      <c r="J98" s="161">
        <v>57.1</v>
      </c>
      <c r="K98" s="163"/>
      <c r="L98" s="163"/>
      <c r="M98" s="163">
        <v>28.4</v>
      </c>
      <c r="N98" s="163"/>
      <c r="O98" s="163">
        <v>16</v>
      </c>
      <c r="P98" s="159" t="s">
        <v>159</v>
      </c>
    </row>
    <row r="99" spans="1:16" ht="14.25">
      <c r="A99" s="164" t="s">
        <v>340</v>
      </c>
      <c r="B99" s="164" t="s">
        <v>150</v>
      </c>
      <c r="C99" s="164" t="s">
        <v>341</v>
      </c>
      <c r="D99" s="165">
        <v>3.7101</v>
      </c>
      <c r="E99" s="166">
        <v>149</v>
      </c>
      <c r="F99" s="166">
        <v>249</v>
      </c>
      <c r="G99" s="167">
        <v>3620</v>
      </c>
      <c r="H99" s="166">
        <v>98</v>
      </c>
      <c r="I99" s="167">
        <v>14587</v>
      </c>
      <c r="J99" s="166">
        <v>78</v>
      </c>
      <c r="K99" s="168">
        <v>6.3</v>
      </c>
      <c r="L99" s="168">
        <v>421</v>
      </c>
      <c r="M99" s="168">
        <v>27.8</v>
      </c>
      <c r="N99" s="168">
        <v>178.8</v>
      </c>
      <c r="O99" s="168">
        <v>16</v>
      </c>
      <c r="P99" s="164" t="s">
        <v>159</v>
      </c>
    </row>
    <row r="100" spans="1:16" ht="14.25">
      <c r="A100" s="159" t="s">
        <v>342</v>
      </c>
      <c r="B100" s="159" t="s">
        <v>150</v>
      </c>
      <c r="C100" s="159" t="s">
        <v>343</v>
      </c>
      <c r="D100" s="160">
        <v>4.3262</v>
      </c>
      <c r="E100" s="161">
        <v>194</v>
      </c>
      <c r="F100" s="161">
        <v>223</v>
      </c>
      <c r="G100" s="162">
        <v>4690</v>
      </c>
      <c r="H100" s="161">
        <v>98.8</v>
      </c>
      <c r="I100" s="162">
        <v>19163</v>
      </c>
      <c r="J100" s="161">
        <v>102</v>
      </c>
      <c r="K100" s="163">
        <v>8.6</v>
      </c>
      <c r="L100" s="163">
        <v>433</v>
      </c>
      <c r="M100" s="163">
        <v>27.8</v>
      </c>
      <c r="N100" s="163">
        <v>153.3</v>
      </c>
      <c r="O100" s="163">
        <v>16</v>
      </c>
      <c r="P100" s="159" t="s">
        <v>159</v>
      </c>
    </row>
    <row r="101" spans="1:16" ht="14.25">
      <c r="A101" s="164" t="s">
        <v>344</v>
      </c>
      <c r="B101" s="164" t="s">
        <v>150</v>
      </c>
      <c r="C101" s="164" t="s">
        <v>345</v>
      </c>
      <c r="D101" s="165">
        <v>5.496</v>
      </c>
      <c r="E101" s="166">
        <v>240</v>
      </c>
      <c r="F101" s="166">
        <v>229</v>
      </c>
      <c r="G101" s="167">
        <v>5340</v>
      </c>
      <c r="H101" s="166">
        <v>98.6</v>
      </c>
      <c r="I101" s="167">
        <v>23635</v>
      </c>
      <c r="J101" s="166">
        <v>116</v>
      </c>
      <c r="K101" s="168">
        <v>10.7</v>
      </c>
      <c r="L101" s="168">
        <v>509</v>
      </c>
      <c r="M101" s="168">
        <v>27.3</v>
      </c>
      <c r="N101" s="168">
        <v>159.7</v>
      </c>
      <c r="O101" s="168">
        <v>16</v>
      </c>
      <c r="P101" s="164" t="s">
        <v>140</v>
      </c>
    </row>
    <row r="102" spans="1:16" ht="14.25">
      <c r="A102" s="159" t="s">
        <v>346</v>
      </c>
      <c r="B102" s="159" t="s">
        <v>347</v>
      </c>
      <c r="C102" s="159" t="s">
        <v>348</v>
      </c>
      <c r="D102" s="160">
        <v>9.0153</v>
      </c>
      <c r="E102" s="161">
        <v>243</v>
      </c>
      <c r="F102" s="161">
        <v>371</v>
      </c>
      <c r="G102" s="162">
        <v>3500</v>
      </c>
      <c r="H102" s="161">
        <v>118</v>
      </c>
      <c r="I102" s="162">
        <v>28700</v>
      </c>
      <c r="J102" s="161">
        <v>146</v>
      </c>
      <c r="K102" s="163"/>
      <c r="L102" s="163"/>
      <c r="M102" s="163"/>
      <c r="N102" s="163">
        <v>167.8</v>
      </c>
      <c r="O102" s="163"/>
      <c r="P102" s="159"/>
    </row>
    <row r="103" spans="1:16" ht="14.25">
      <c r="A103" s="169" t="s">
        <v>349</v>
      </c>
      <c r="B103" s="169" t="s">
        <v>138</v>
      </c>
      <c r="C103" s="169" t="s">
        <v>350</v>
      </c>
      <c r="D103" s="170">
        <v>3.15</v>
      </c>
      <c r="E103" s="171">
        <v>250</v>
      </c>
      <c r="F103" s="171">
        <v>126</v>
      </c>
      <c r="G103" s="172">
        <v>6100</v>
      </c>
      <c r="H103" s="171">
        <v>91.8</v>
      </c>
      <c r="I103" s="172">
        <v>23000</v>
      </c>
      <c r="J103" s="171">
        <v>61</v>
      </c>
      <c r="K103" s="173">
        <v>3.8</v>
      </c>
      <c r="L103" s="173"/>
      <c r="M103" s="173">
        <v>31</v>
      </c>
      <c r="N103" s="173"/>
      <c r="O103" s="173">
        <v>18</v>
      </c>
      <c r="P103" s="169" t="s">
        <v>159</v>
      </c>
    </row>
    <row r="104" spans="1:16" ht="14.25">
      <c r="A104" s="153" t="s">
        <v>351</v>
      </c>
      <c r="B104" s="174"/>
      <c r="C104" s="174"/>
      <c r="D104" s="175"/>
      <c r="E104" s="176"/>
      <c r="F104" s="176"/>
      <c r="G104" s="177"/>
      <c r="H104" s="176"/>
      <c r="I104" s="177"/>
      <c r="J104" s="176"/>
      <c r="K104" s="178"/>
      <c r="L104" s="178"/>
      <c r="M104" s="178"/>
      <c r="N104" s="178"/>
      <c r="O104" s="178"/>
      <c r="P104" s="179"/>
    </row>
    <row r="105" spans="1:16" ht="14.25">
      <c r="A105" s="159" t="s">
        <v>352</v>
      </c>
      <c r="B105" s="159" t="s">
        <v>150</v>
      </c>
      <c r="C105" s="159" t="s">
        <v>353</v>
      </c>
      <c r="D105" s="160">
        <v>0.29116499999999995</v>
      </c>
      <c r="E105" s="161">
        <v>41.3</v>
      </c>
      <c r="F105" s="161">
        <v>70.5</v>
      </c>
      <c r="G105" s="162">
        <v>1720</v>
      </c>
      <c r="H105" s="161">
        <v>54.6</v>
      </c>
      <c r="I105" s="162">
        <v>22530</v>
      </c>
      <c r="J105" s="161">
        <v>13.3</v>
      </c>
      <c r="K105" s="163">
        <v>1.1</v>
      </c>
      <c r="L105" s="163">
        <v>79</v>
      </c>
      <c r="M105" s="163"/>
      <c r="N105" s="163">
        <v>37.4</v>
      </c>
      <c r="O105" s="163"/>
      <c r="P105" s="159"/>
    </row>
    <row r="106" spans="1:16" ht="14.25">
      <c r="A106" s="164" t="s">
        <v>354</v>
      </c>
      <c r="B106" s="164" t="s">
        <v>150</v>
      </c>
      <c r="C106" s="164" t="s">
        <v>355</v>
      </c>
      <c r="D106" s="165">
        <v>0.57426</v>
      </c>
      <c r="E106" s="166">
        <v>56.3</v>
      </c>
      <c r="F106" s="166">
        <v>102</v>
      </c>
      <c r="G106" s="167">
        <v>2125</v>
      </c>
      <c r="H106" s="166">
        <v>61.9</v>
      </c>
      <c r="I106" s="167">
        <v>3480</v>
      </c>
      <c r="J106" s="166">
        <v>19.5</v>
      </c>
      <c r="K106" s="168">
        <v>1.6</v>
      </c>
      <c r="L106" s="168">
        <v>115</v>
      </c>
      <c r="M106" s="168"/>
      <c r="N106" s="168">
        <v>44.7</v>
      </c>
      <c r="O106" s="168"/>
      <c r="P106" s="164"/>
    </row>
    <row r="107" spans="1:16" ht="14.25">
      <c r="A107" s="159" t="s">
        <v>356</v>
      </c>
      <c r="B107" s="159" t="s">
        <v>150</v>
      </c>
      <c r="C107" s="159" t="s">
        <v>357</v>
      </c>
      <c r="D107" s="160">
        <v>1.0686719999999998</v>
      </c>
      <c r="E107" s="161">
        <v>73.6</v>
      </c>
      <c r="F107" s="161">
        <v>145.2</v>
      </c>
      <c r="G107" s="162">
        <v>2500</v>
      </c>
      <c r="H107" s="161">
        <v>70.6</v>
      </c>
      <c r="I107" s="162">
        <v>5193</v>
      </c>
      <c r="J107" s="161">
        <v>28</v>
      </c>
      <c r="K107" s="163">
        <v>2.4</v>
      </c>
      <c r="L107" s="163">
        <v>170</v>
      </c>
      <c r="M107" s="163">
        <v>19.7</v>
      </c>
      <c r="N107" s="163"/>
      <c r="O107" s="163">
        <v>13</v>
      </c>
      <c r="P107" s="159" t="s">
        <v>140</v>
      </c>
    </row>
    <row r="108" spans="1:16" ht="14.25">
      <c r="A108" s="164" t="s">
        <v>358</v>
      </c>
      <c r="B108" s="164" t="s">
        <v>150</v>
      </c>
      <c r="C108" s="164" t="s">
        <v>359</v>
      </c>
      <c r="D108" s="165">
        <v>1.82548</v>
      </c>
      <c r="E108" s="166">
        <v>97.1</v>
      </c>
      <c r="F108" s="166">
        <v>188</v>
      </c>
      <c r="G108" s="167">
        <v>2780</v>
      </c>
      <c r="H108" s="166">
        <v>78.6</v>
      </c>
      <c r="I108" s="167">
        <v>7640</v>
      </c>
      <c r="J108" s="166">
        <v>40</v>
      </c>
      <c r="K108" s="168">
        <v>3.55</v>
      </c>
      <c r="L108" s="168">
        <v>271</v>
      </c>
      <c r="M108" s="168">
        <v>21.5</v>
      </c>
      <c r="N108" s="168"/>
      <c r="O108" s="168">
        <v>14</v>
      </c>
      <c r="P108" s="164" t="s">
        <v>140</v>
      </c>
    </row>
    <row r="109" spans="1:16" ht="14.25">
      <c r="A109" s="159" t="s">
        <v>360</v>
      </c>
      <c r="B109" s="159" t="s">
        <v>150</v>
      </c>
      <c r="C109" s="159" t="s">
        <v>361</v>
      </c>
      <c r="D109" s="160">
        <v>3.2125</v>
      </c>
      <c r="E109" s="161">
        <v>125</v>
      </c>
      <c r="F109" s="161">
        <v>257</v>
      </c>
      <c r="G109" s="162">
        <v>3150</v>
      </c>
      <c r="H109" s="161">
        <v>92.1</v>
      </c>
      <c r="I109" s="162">
        <v>11500</v>
      </c>
      <c r="J109" s="161">
        <v>60</v>
      </c>
      <c r="K109" s="163">
        <v>5.3</v>
      </c>
      <c r="L109" s="163">
        <v>382</v>
      </c>
      <c r="M109" s="163">
        <v>26</v>
      </c>
      <c r="N109" s="163"/>
      <c r="O109" s="163">
        <v>16</v>
      </c>
      <c r="P109" s="159" t="s">
        <v>140</v>
      </c>
    </row>
    <row r="110" spans="1:16" ht="14.25">
      <c r="A110" s="164" t="s">
        <v>362</v>
      </c>
      <c r="B110" s="164" t="s">
        <v>150</v>
      </c>
      <c r="C110" s="164" t="s">
        <v>363</v>
      </c>
      <c r="D110" s="165">
        <v>5.3375</v>
      </c>
      <c r="E110" s="166">
        <v>175</v>
      </c>
      <c r="F110" s="166">
        <v>305</v>
      </c>
      <c r="G110" s="167">
        <v>4000</v>
      </c>
      <c r="H110" s="166">
        <v>103</v>
      </c>
      <c r="I110" s="167">
        <v>18000</v>
      </c>
      <c r="J110" s="166">
        <v>94</v>
      </c>
      <c r="K110" s="168">
        <v>8.3</v>
      </c>
      <c r="L110" s="168">
        <v>523</v>
      </c>
      <c r="M110" s="168">
        <v>30</v>
      </c>
      <c r="N110" s="168"/>
      <c r="O110" s="168">
        <v>18</v>
      </c>
      <c r="P110" s="164" t="s">
        <v>140</v>
      </c>
    </row>
    <row r="111" spans="1:16" ht="14.25">
      <c r="A111" s="159" t="s">
        <v>364</v>
      </c>
      <c r="B111" s="159" t="s">
        <v>150</v>
      </c>
      <c r="C111" s="159" t="s">
        <v>365</v>
      </c>
      <c r="D111" s="160">
        <v>7.9875</v>
      </c>
      <c r="E111" s="161">
        <v>213</v>
      </c>
      <c r="F111" s="161">
        <v>375</v>
      </c>
      <c r="G111" s="162">
        <v>4440</v>
      </c>
      <c r="H111" s="161">
        <v>114</v>
      </c>
      <c r="I111" s="162">
        <v>24200</v>
      </c>
      <c r="J111" s="161">
        <v>124</v>
      </c>
      <c r="K111" s="163">
        <v>11.2</v>
      </c>
      <c r="L111" s="163">
        <v>682</v>
      </c>
      <c r="M111" s="163"/>
      <c r="N111" s="163"/>
      <c r="O111" s="163"/>
      <c r="P111" s="159"/>
    </row>
    <row r="112" spans="1:16" ht="14.25">
      <c r="A112" s="164" t="s">
        <v>366</v>
      </c>
      <c r="B112" s="164" t="s">
        <v>347</v>
      </c>
      <c r="C112" s="164" t="s">
        <v>367</v>
      </c>
      <c r="D112" s="165">
        <v>11.536000000000001</v>
      </c>
      <c r="E112" s="166">
        <v>280</v>
      </c>
      <c r="F112" s="166">
        <v>412</v>
      </c>
      <c r="G112" s="167">
        <v>4200</v>
      </c>
      <c r="H112" s="166">
        <v>127</v>
      </c>
      <c r="I112" s="167">
        <v>35600</v>
      </c>
      <c r="J112" s="166">
        <v>180</v>
      </c>
      <c r="K112" s="168">
        <v>26</v>
      </c>
      <c r="L112" s="168"/>
      <c r="M112" s="168"/>
      <c r="N112" s="168"/>
      <c r="O112" s="168"/>
      <c r="P112" s="164"/>
    </row>
    <row r="113" spans="1:16" ht="14.25">
      <c r="A113" s="183" t="s">
        <v>368</v>
      </c>
      <c r="B113" s="183" t="s">
        <v>347</v>
      </c>
      <c r="C113" s="183" t="s">
        <v>369</v>
      </c>
      <c r="D113" s="184">
        <v>17.4064</v>
      </c>
      <c r="E113" s="185">
        <v>368</v>
      </c>
      <c r="F113" s="185">
        <v>473</v>
      </c>
      <c r="G113" s="186">
        <v>5000</v>
      </c>
      <c r="H113" s="185">
        <v>139</v>
      </c>
      <c r="I113" s="186">
        <v>51200</v>
      </c>
      <c r="J113" s="185">
        <v>260</v>
      </c>
      <c r="K113" s="187"/>
      <c r="L113" s="187"/>
      <c r="M113" s="187"/>
      <c r="N113" s="187"/>
      <c r="O113" s="187"/>
      <c r="P113" s="183"/>
    </row>
    <row r="114" spans="1:16" ht="14.25">
      <c r="A114" s="153" t="s">
        <v>370</v>
      </c>
      <c r="B114" s="174"/>
      <c r="C114" s="174"/>
      <c r="D114" s="175"/>
      <c r="E114" s="176"/>
      <c r="F114" s="176"/>
      <c r="G114" s="177"/>
      <c r="H114" s="176"/>
      <c r="I114" s="177"/>
      <c r="J114" s="176"/>
      <c r="K114" s="178"/>
      <c r="L114" s="178"/>
      <c r="M114" s="178"/>
      <c r="N114" s="178"/>
      <c r="O114" s="178"/>
      <c r="P114" s="179"/>
    </row>
    <row r="115" spans="1:16" ht="14.25">
      <c r="A115" s="159" t="s">
        <v>371</v>
      </c>
      <c r="B115" s="159" t="s">
        <v>288</v>
      </c>
      <c r="C115" s="159" t="s">
        <v>372</v>
      </c>
      <c r="D115" s="160">
        <v>0.5717180000000001</v>
      </c>
      <c r="E115" s="161">
        <v>67.9</v>
      </c>
      <c r="F115" s="161">
        <v>84.2</v>
      </c>
      <c r="G115" s="162">
        <v>3310</v>
      </c>
      <c r="H115" s="161">
        <v>49</v>
      </c>
      <c r="I115" s="162">
        <v>3277</v>
      </c>
      <c r="J115" s="161">
        <v>21</v>
      </c>
      <c r="K115" s="163">
        <v>1.3</v>
      </c>
      <c r="L115" s="163">
        <v>121</v>
      </c>
      <c r="M115" s="163"/>
      <c r="N115" s="163"/>
      <c r="O115" s="163"/>
      <c r="P115" s="159"/>
    </row>
    <row r="116" spans="1:16" ht="14.25">
      <c r="A116" s="164" t="s">
        <v>373</v>
      </c>
      <c r="B116" s="164" t="s">
        <v>288</v>
      </c>
      <c r="C116" s="164" t="s">
        <v>374</v>
      </c>
      <c r="D116" s="165">
        <v>0.18529600000000002</v>
      </c>
      <c r="E116" s="166">
        <v>31.3</v>
      </c>
      <c r="F116" s="166">
        <v>59.2</v>
      </c>
      <c r="G116" s="167">
        <v>1600</v>
      </c>
      <c r="H116" s="166">
        <v>44.1</v>
      </c>
      <c r="I116" s="167">
        <v>1377</v>
      </c>
      <c r="J116" s="166">
        <v>9.6</v>
      </c>
      <c r="K116" s="168">
        <v>0.52</v>
      </c>
      <c r="L116" s="168">
        <v>50</v>
      </c>
      <c r="M116" s="168"/>
      <c r="N116" s="168"/>
      <c r="O116" s="168"/>
      <c r="P116" s="164"/>
    </row>
    <row r="117" spans="1:16" ht="14.25">
      <c r="A117" s="169" t="s">
        <v>375</v>
      </c>
      <c r="B117" s="169" t="s">
        <v>288</v>
      </c>
      <c r="C117" s="169" t="s">
        <v>376</v>
      </c>
      <c r="D117" s="170">
        <v>0.8808590000000001</v>
      </c>
      <c r="E117" s="171">
        <v>70.3</v>
      </c>
      <c r="F117" s="171">
        <v>125.3</v>
      </c>
      <c r="G117" s="172">
        <v>2630</v>
      </c>
      <c r="H117" s="171">
        <v>64</v>
      </c>
      <c r="I117" s="172">
        <v>4498</v>
      </c>
      <c r="J117" s="171">
        <v>30</v>
      </c>
      <c r="K117" s="173">
        <v>1.7</v>
      </c>
      <c r="L117" s="173">
        <v>164</v>
      </c>
      <c r="M117" s="173"/>
      <c r="N117" s="173"/>
      <c r="O117" s="173"/>
      <c r="P117" s="169"/>
    </row>
    <row r="118" spans="1:16" ht="14.25">
      <c r="A118" s="153" t="s">
        <v>377</v>
      </c>
      <c r="B118" s="174"/>
      <c r="C118" s="174"/>
      <c r="D118" s="175"/>
      <c r="E118" s="176"/>
      <c r="F118" s="176"/>
      <c r="G118" s="177"/>
      <c r="H118" s="176"/>
      <c r="I118" s="177"/>
      <c r="J118" s="176"/>
      <c r="K118" s="178"/>
      <c r="L118" s="178"/>
      <c r="M118" s="178"/>
      <c r="N118" s="178"/>
      <c r="O118" s="178"/>
      <c r="P118" s="179"/>
    </row>
    <row r="119" spans="1:16" ht="14.25">
      <c r="A119" s="159" t="s">
        <v>378</v>
      </c>
      <c r="B119" s="159" t="s">
        <v>150</v>
      </c>
      <c r="C119" s="159" t="s">
        <v>379</v>
      </c>
      <c r="D119" s="160">
        <v>0.021840000000000002</v>
      </c>
      <c r="E119" s="161">
        <v>14</v>
      </c>
      <c r="F119" s="161">
        <v>15.6</v>
      </c>
      <c r="G119" s="162">
        <v>680</v>
      </c>
      <c r="H119" s="161">
        <v>22.7</v>
      </c>
      <c r="I119" s="162">
        <v>318</v>
      </c>
      <c r="J119" s="161">
        <v>1.7</v>
      </c>
      <c r="K119" s="163">
        <v>0.08</v>
      </c>
      <c r="L119" s="163">
        <v>6.9</v>
      </c>
      <c r="M119" s="163">
        <v>5.9</v>
      </c>
      <c r="N119" s="163"/>
      <c r="O119" s="163" t="s">
        <v>380</v>
      </c>
      <c r="P119" s="159" t="s">
        <v>159</v>
      </c>
    </row>
    <row r="120" spans="1:16" ht="14.25">
      <c r="A120" s="164" t="s">
        <v>381</v>
      </c>
      <c r="B120" s="164" t="s">
        <v>150</v>
      </c>
      <c r="C120" s="164" t="s">
        <v>382</v>
      </c>
      <c r="D120" s="165">
        <v>0.043134</v>
      </c>
      <c r="E120" s="166">
        <v>23.7</v>
      </c>
      <c r="F120" s="166">
        <v>18.2</v>
      </c>
      <c r="G120" s="167">
        <v>1250</v>
      </c>
      <c r="H120" s="166">
        <v>22.4</v>
      </c>
      <c r="I120" s="167">
        <v>530</v>
      </c>
      <c r="J120" s="166">
        <v>3</v>
      </c>
      <c r="K120" s="168">
        <v>0.18</v>
      </c>
      <c r="L120" s="168">
        <v>16</v>
      </c>
      <c r="M120" s="168">
        <v>4.9</v>
      </c>
      <c r="N120" s="168"/>
      <c r="O120" s="168" t="s">
        <v>380</v>
      </c>
      <c r="P120" s="164" t="s">
        <v>159</v>
      </c>
    </row>
    <row r="121" spans="1:16" ht="14.25">
      <c r="A121" s="159" t="s">
        <v>383</v>
      </c>
      <c r="B121" s="159" t="s">
        <v>150</v>
      </c>
      <c r="C121" s="159" t="s">
        <v>384</v>
      </c>
      <c r="D121" s="160">
        <v>0.09516000000000001</v>
      </c>
      <c r="E121" s="161">
        <v>36.6</v>
      </c>
      <c r="F121" s="161">
        <v>26</v>
      </c>
      <c r="G121" s="162">
        <v>1600</v>
      </c>
      <c r="H121" s="161">
        <v>28.6</v>
      </c>
      <c r="I121" s="162">
        <v>1050</v>
      </c>
      <c r="J121" s="161">
        <v>5.5</v>
      </c>
      <c r="K121" s="163">
        <v>0.41</v>
      </c>
      <c r="L121" s="163">
        <v>27</v>
      </c>
      <c r="M121" s="163">
        <v>6.4</v>
      </c>
      <c r="N121" s="163"/>
      <c r="O121" s="163" t="s">
        <v>380</v>
      </c>
      <c r="P121" s="159" t="s">
        <v>159</v>
      </c>
    </row>
    <row r="122" spans="1:16" ht="14.25">
      <c r="A122" s="164" t="s">
        <v>385</v>
      </c>
      <c r="B122" s="164" t="s">
        <v>150</v>
      </c>
      <c r="C122" s="164" t="s">
        <v>386</v>
      </c>
      <c r="D122" s="165">
        <v>0.31296</v>
      </c>
      <c r="E122" s="166">
        <v>64</v>
      </c>
      <c r="F122" s="166">
        <v>48.9</v>
      </c>
      <c r="G122" s="167">
        <v>1950</v>
      </c>
      <c r="H122" s="166">
        <v>38</v>
      </c>
      <c r="I122" s="167">
        <v>2430</v>
      </c>
      <c r="J122" s="166">
        <v>13</v>
      </c>
      <c r="K122" s="168">
        <v>0.97</v>
      </c>
      <c r="L122" s="168">
        <v>67</v>
      </c>
      <c r="M122" s="168">
        <v>9.15</v>
      </c>
      <c r="N122" s="168"/>
      <c r="O122" s="168" t="s">
        <v>387</v>
      </c>
      <c r="P122" s="164" t="s">
        <v>159</v>
      </c>
    </row>
    <row r="123" spans="1:16" ht="14.25">
      <c r="A123" s="159" t="s">
        <v>388</v>
      </c>
      <c r="B123" s="159" t="s">
        <v>150</v>
      </c>
      <c r="C123" s="159" t="s">
        <v>389</v>
      </c>
      <c r="D123" s="160">
        <v>0.6811</v>
      </c>
      <c r="E123" s="161">
        <v>98</v>
      </c>
      <c r="F123" s="161">
        <v>69.5</v>
      </c>
      <c r="G123" s="162">
        <v>3630</v>
      </c>
      <c r="H123" s="161">
        <v>44</v>
      </c>
      <c r="I123" s="162">
        <v>4310</v>
      </c>
      <c r="J123" s="161">
        <v>23</v>
      </c>
      <c r="K123" s="163">
        <v>1.8</v>
      </c>
      <c r="L123" s="163">
        <v>130</v>
      </c>
      <c r="M123" s="163">
        <v>10.75</v>
      </c>
      <c r="N123" s="163"/>
      <c r="O123" s="163" t="s">
        <v>184</v>
      </c>
      <c r="P123" s="159" t="s">
        <v>159</v>
      </c>
    </row>
    <row r="124" spans="1:16" ht="14.25">
      <c r="A124" s="164" t="s">
        <v>390</v>
      </c>
      <c r="B124" s="164" t="s">
        <v>150</v>
      </c>
      <c r="C124" s="164" t="s">
        <v>391</v>
      </c>
      <c r="D124" s="165">
        <v>1.54</v>
      </c>
      <c r="E124" s="166">
        <v>140</v>
      </c>
      <c r="F124" s="166">
        <v>110</v>
      </c>
      <c r="G124" s="167">
        <v>4150</v>
      </c>
      <c r="H124" s="166">
        <v>56.9</v>
      </c>
      <c r="I124" s="167">
        <v>7960</v>
      </c>
      <c r="J124" s="166">
        <v>42</v>
      </c>
      <c r="K124" s="168">
        <v>3.3</v>
      </c>
      <c r="L124" s="168">
        <v>344</v>
      </c>
      <c r="M124" s="168">
        <v>14.8</v>
      </c>
      <c r="N124" s="168"/>
      <c r="O124" s="168" t="s">
        <v>392</v>
      </c>
      <c r="P124" s="164" t="s">
        <v>159</v>
      </c>
    </row>
    <row r="125" spans="1:16" ht="14.25">
      <c r="A125" s="183" t="s">
        <v>393</v>
      </c>
      <c r="B125" s="183" t="s">
        <v>150</v>
      </c>
      <c r="C125" s="183" t="s">
        <v>394</v>
      </c>
      <c r="D125" s="184">
        <v>2.914</v>
      </c>
      <c r="E125" s="185">
        <v>188</v>
      </c>
      <c r="F125" s="185">
        <v>155</v>
      </c>
      <c r="G125" s="186">
        <v>4600</v>
      </c>
      <c r="H125" s="185">
        <v>69</v>
      </c>
      <c r="I125" s="186">
        <v>13000</v>
      </c>
      <c r="J125" s="185">
        <v>70</v>
      </c>
      <c r="K125" s="187">
        <v>4.75</v>
      </c>
      <c r="L125" s="187">
        <v>376</v>
      </c>
      <c r="M125" s="187">
        <v>18.8</v>
      </c>
      <c r="N125" s="187"/>
      <c r="O125" s="187" t="s">
        <v>184</v>
      </c>
      <c r="P125" s="183" t="s">
        <v>159</v>
      </c>
    </row>
    <row r="126" spans="1:16" ht="14.25">
      <c r="A126" s="153" t="s">
        <v>395</v>
      </c>
      <c r="B126" s="174"/>
      <c r="C126" s="174"/>
      <c r="D126" s="175"/>
      <c r="E126" s="176"/>
      <c r="F126" s="176"/>
      <c r="G126" s="177"/>
      <c r="H126" s="176"/>
      <c r="I126" s="177"/>
      <c r="J126" s="176"/>
      <c r="K126" s="178"/>
      <c r="L126" s="178"/>
      <c r="M126" s="178"/>
      <c r="N126" s="178"/>
      <c r="O126" s="178"/>
      <c r="P126" s="179"/>
    </row>
    <row r="127" spans="1:16" ht="14.25">
      <c r="A127" s="159" t="s">
        <v>396</v>
      </c>
      <c r="B127" s="159" t="s">
        <v>138</v>
      </c>
      <c r="C127" s="159" t="s">
        <v>397</v>
      </c>
      <c r="D127" s="160">
        <v>0.0374</v>
      </c>
      <c r="E127" s="161">
        <v>17</v>
      </c>
      <c r="F127" s="161">
        <v>22</v>
      </c>
      <c r="G127" s="162">
        <v>1750</v>
      </c>
      <c r="H127" s="161">
        <v>22.5</v>
      </c>
      <c r="I127" s="162">
        <v>495</v>
      </c>
      <c r="J127" s="161">
        <v>2.5</v>
      </c>
      <c r="K127" s="163"/>
      <c r="L127" s="163"/>
      <c r="M127" s="163">
        <v>4</v>
      </c>
      <c r="N127" s="163"/>
      <c r="O127" s="163">
        <v>12</v>
      </c>
      <c r="P127" s="159" t="s">
        <v>159</v>
      </c>
    </row>
    <row r="128" spans="1:16" ht="14.25">
      <c r="A128" s="164" t="s">
        <v>398</v>
      </c>
      <c r="B128" s="164" t="s">
        <v>138</v>
      </c>
      <c r="C128" s="164" t="s">
        <v>399</v>
      </c>
      <c r="D128" s="165">
        <v>0.10665240000000002</v>
      </c>
      <c r="E128" s="166">
        <v>37.2</v>
      </c>
      <c r="F128" s="166">
        <v>28.67</v>
      </c>
      <c r="G128" s="167">
        <v>2400</v>
      </c>
      <c r="H128" s="166">
        <v>28.7</v>
      </c>
      <c r="I128" s="167">
        <v>1070</v>
      </c>
      <c r="J128" s="166">
        <v>5</v>
      </c>
      <c r="K128" s="168" t="s">
        <v>400</v>
      </c>
      <c r="L128" s="168"/>
      <c r="M128" s="168">
        <v>6</v>
      </c>
      <c r="N128" s="168"/>
      <c r="O128" s="168">
        <v>6</v>
      </c>
      <c r="P128" s="164" t="s">
        <v>159</v>
      </c>
    </row>
    <row r="129" spans="1:16" ht="14.25">
      <c r="A129" s="183" t="s">
        <v>401</v>
      </c>
      <c r="B129" s="183" t="s">
        <v>138</v>
      </c>
      <c r="C129" s="183" t="s">
        <v>402</v>
      </c>
      <c r="D129" s="184">
        <v>0.18464160000000002</v>
      </c>
      <c r="E129" s="185">
        <v>57.2</v>
      </c>
      <c r="F129" s="185">
        <v>32.28</v>
      </c>
      <c r="G129" s="186">
        <v>3560</v>
      </c>
      <c r="H129" s="185">
        <v>31.6</v>
      </c>
      <c r="I129" s="186">
        <v>1810</v>
      </c>
      <c r="J129" s="185">
        <v>9</v>
      </c>
      <c r="K129" s="187" t="s">
        <v>403</v>
      </c>
      <c r="L129" s="187"/>
      <c r="M129" s="187">
        <v>5.16</v>
      </c>
      <c r="N129" s="187"/>
      <c r="O129" s="187">
        <v>10</v>
      </c>
      <c r="P129" s="183" t="s">
        <v>159</v>
      </c>
    </row>
    <row r="130" spans="1:16" ht="14.25">
      <c r="A130" s="164" t="s">
        <v>404</v>
      </c>
      <c r="B130" s="164" t="s">
        <v>138</v>
      </c>
      <c r="C130" s="164" t="s">
        <v>405</v>
      </c>
      <c r="D130" s="165">
        <v>0.3609936</v>
      </c>
      <c r="E130" s="166">
        <v>58.3</v>
      </c>
      <c r="F130" s="166">
        <v>61.92</v>
      </c>
      <c r="G130" s="167">
        <v>2900</v>
      </c>
      <c r="H130" s="166">
        <v>45.1</v>
      </c>
      <c r="I130" s="167">
        <v>2630</v>
      </c>
      <c r="J130" s="166">
        <v>13</v>
      </c>
      <c r="K130" s="168" t="s">
        <v>406</v>
      </c>
      <c r="L130" s="168"/>
      <c r="M130" s="168">
        <v>11.76</v>
      </c>
      <c r="N130" s="168"/>
      <c r="O130" s="168">
        <v>10</v>
      </c>
      <c r="P130" s="164" t="s">
        <v>159</v>
      </c>
    </row>
    <row r="131" spans="1:16" ht="14.25">
      <c r="A131" s="183" t="s">
        <v>407</v>
      </c>
      <c r="B131" s="183" t="s">
        <v>138</v>
      </c>
      <c r="C131" s="183" t="s">
        <v>408</v>
      </c>
      <c r="D131" s="184">
        <v>0.886446</v>
      </c>
      <c r="E131" s="185">
        <v>111</v>
      </c>
      <c r="F131" s="185">
        <v>79.86</v>
      </c>
      <c r="G131" s="186">
        <v>4140</v>
      </c>
      <c r="H131" s="185">
        <v>50.2</v>
      </c>
      <c r="I131" s="186">
        <v>5570</v>
      </c>
      <c r="J131" s="185">
        <v>30</v>
      </c>
      <c r="K131" s="187" t="s">
        <v>409</v>
      </c>
      <c r="L131" s="187"/>
      <c r="M131" s="187">
        <v>10.8</v>
      </c>
      <c r="N131" s="187"/>
      <c r="O131" s="187">
        <v>10</v>
      </c>
      <c r="P131" s="183" t="s">
        <v>159</v>
      </c>
    </row>
    <row r="132" spans="1:16" ht="14.25">
      <c r="A132" s="153" t="s">
        <v>410</v>
      </c>
      <c r="B132" s="174"/>
      <c r="C132" s="174"/>
      <c r="D132" s="175"/>
      <c r="E132" s="176"/>
      <c r="F132" s="176"/>
      <c r="G132" s="177"/>
      <c r="H132" s="176"/>
      <c r="I132" s="177"/>
      <c r="J132" s="176"/>
      <c r="K132" s="178"/>
      <c r="L132" s="178"/>
      <c r="M132" s="178"/>
      <c r="N132" s="178"/>
      <c r="O132" s="178"/>
      <c r="P132" s="179"/>
    </row>
    <row r="133" spans="1:16" ht="14.25">
      <c r="A133" s="159" t="s">
        <v>411</v>
      </c>
      <c r="B133" s="159" t="s">
        <v>288</v>
      </c>
      <c r="C133" s="159" t="s">
        <v>412</v>
      </c>
      <c r="D133" s="160">
        <v>0.2914</v>
      </c>
      <c r="E133" s="161">
        <v>62</v>
      </c>
      <c r="F133" s="161">
        <v>47</v>
      </c>
      <c r="G133" s="162">
        <v>3880</v>
      </c>
      <c r="H133" s="161">
        <v>37.4</v>
      </c>
      <c r="I133" s="162">
        <v>2310</v>
      </c>
      <c r="J133" s="161">
        <v>13</v>
      </c>
      <c r="K133" s="163">
        <v>0.84</v>
      </c>
      <c r="L133" s="163">
        <v>70</v>
      </c>
      <c r="M133" s="163">
        <v>11.9</v>
      </c>
      <c r="N133" s="163"/>
      <c r="O133" s="163">
        <v>12</v>
      </c>
      <c r="P133" s="159" t="s">
        <v>159</v>
      </c>
    </row>
    <row r="134" spans="1:16" ht="14.25">
      <c r="A134" s="183" t="s">
        <v>413</v>
      </c>
      <c r="B134" s="183" t="s">
        <v>288</v>
      </c>
      <c r="C134" s="183" t="s">
        <v>414</v>
      </c>
      <c r="D134" s="184">
        <v>0.40796</v>
      </c>
      <c r="E134" s="185">
        <v>62</v>
      </c>
      <c r="F134" s="185">
        <v>65.8</v>
      </c>
      <c r="G134" s="186">
        <v>3150</v>
      </c>
      <c r="H134" s="185">
        <v>45.7</v>
      </c>
      <c r="I134" s="186">
        <v>2790</v>
      </c>
      <c r="J134" s="185">
        <v>15</v>
      </c>
      <c r="K134" s="187">
        <v>1.02</v>
      </c>
      <c r="L134" s="187">
        <v>92</v>
      </c>
      <c r="M134" s="187">
        <v>11.9</v>
      </c>
      <c r="N134" s="187"/>
      <c r="O134" s="187">
        <v>12</v>
      </c>
      <c r="P134" s="183" t="s">
        <v>159</v>
      </c>
    </row>
    <row r="135" spans="1:16" ht="14.25">
      <c r="A135" s="164" t="s">
        <v>415</v>
      </c>
      <c r="B135" s="164" t="s">
        <v>288</v>
      </c>
      <c r="C135" s="164" t="s">
        <v>416</v>
      </c>
      <c r="D135" s="165">
        <v>0.71876</v>
      </c>
      <c r="E135" s="166">
        <v>119</v>
      </c>
      <c r="F135" s="166">
        <v>60.4</v>
      </c>
      <c r="G135" s="167">
        <v>6170</v>
      </c>
      <c r="H135" s="166">
        <v>46.3</v>
      </c>
      <c r="I135" s="167">
        <v>5490</v>
      </c>
      <c r="J135" s="166">
        <v>31</v>
      </c>
      <c r="K135" s="168">
        <v>1.94</v>
      </c>
      <c r="L135" s="168">
        <v>170</v>
      </c>
      <c r="M135" s="168">
        <v>13.6</v>
      </c>
      <c r="N135" s="168"/>
      <c r="O135" s="168">
        <v>12</v>
      </c>
      <c r="P135" s="164" t="s">
        <v>159</v>
      </c>
    </row>
    <row r="136" spans="1:16" ht="14.25">
      <c r="A136" s="183" t="s">
        <v>417</v>
      </c>
      <c r="B136" s="183" t="s">
        <v>288</v>
      </c>
      <c r="C136" s="183" t="s">
        <v>418</v>
      </c>
      <c r="D136" s="184">
        <v>0.9971000000000001</v>
      </c>
      <c r="E136" s="185">
        <v>118</v>
      </c>
      <c r="F136" s="185">
        <v>84.5</v>
      </c>
      <c r="G136" s="186">
        <v>5250</v>
      </c>
      <c r="H136" s="185">
        <v>55.5</v>
      </c>
      <c r="I136" s="186">
        <v>6530</v>
      </c>
      <c r="J136" s="185">
        <v>36</v>
      </c>
      <c r="K136" s="187">
        <v>2.32</v>
      </c>
      <c r="L136" s="187">
        <v>195</v>
      </c>
      <c r="M136" s="187">
        <v>13.6</v>
      </c>
      <c r="N136" s="187"/>
      <c r="O136" s="187">
        <v>12</v>
      </c>
      <c r="P136" s="183" t="s">
        <v>159</v>
      </c>
    </row>
    <row r="137" spans="1:16" ht="14.25">
      <c r="A137" s="164" t="s">
        <v>419</v>
      </c>
      <c r="B137" s="164" t="s">
        <v>288</v>
      </c>
      <c r="C137" s="164" t="s">
        <v>420</v>
      </c>
      <c r="D137" s="165">
        <v>1.3736000000000002</v>
      </c>
      <c r="E137" s="166">
        <v>170</v>
      </c>
      <c r="F137" s="166">
        <v>80.8</v>
      </c>
      <c r="G137" s="167">
        <v>7310</v>
      </c>
      <c r="H137" s="166">
        <v>55.5</v>
      </c>
      <c r="I137" s="167">
        <v>9420</v>
      </c>
      <c r="J137" s="166">
        <v>42</v>
      </c>
      <c r="K137" s="168">
        <v>2.92</v>
      </c>
      <c r="L137" s="168">
        <v>232</v>
      </c>
      <c r="M137" s="168"/>
      <c r="N137" s="168"/>
      <c r="O137" s="168"/>
      <c r="P137" s="164"/>
    </row>
    <row r="138" spans="1:16" ht="14.25">
      <c r="A138" s="183" t="s">
        <v>421</v>
      </c>
      <c r="B138" s="183" t="s">
        <v>288</v>
      </c>
      <c r="C138" s="183" t="s">
        <v>422</v>
      </c>
      <c r="D138" s="184">
        <v>2.40856</v>
      </c>
      <c r="E138" s="185">
        <v>161</v>
      </c>
      <c r="F138" s="185">
        <v>149.6</v>
      </c>
      <c r="G138" s="186">
        <v>5140</v>
      </c>
      <c r="H138" s="185">
        <v>74.6</v>
      </c>
      <c r="I138" s="186">
        <v>11970</v>
      </c>
      <c r="J138" s="185">
        <v>55</v>
      </c>
      <c r="K138" s="187">
        <v>3.92</v>
      </c>
      <c r="L138" s="187">
        <v>331</v>
      </c>
      <c r="M138" s="187">
        <v>18.5</v>
      </c>
      <c r="N138" s="187"/>
      <c r="O138" s="187">
        <v>12</v>
      </c>
      <c r="P138" s="183" t="s">
        <v>159</v>
      </c>
    </row>
    <row r="139" spans="1:16" ht="14.25">
      <c r="A139" s="164" t="s">
        <v>423</v>
      </c>
      <c r="B139" s="164" t="s">
        <v>288</v>
      </c>
      <c r="C139" s="164" t="s">
        <v>424</v>
      </c>
      <c r="D139" s="165">
        <v>4.32376</v>
      </c>
      <c r="E139" s="166">
        <v>196</v>
      </c>
      <c r="F139" s="166">
        <v>220.6</v>
      </c>
      <c r="G139" s="167">
        <v>4860</v>
      </c>
      <c r="H139" s="166">
        <v>87.9</v>
      </c>
      <c r="I139" s="167">
        <v>19260</v>
      </c>
      <c r="J139" s="166">
        <v>73</v>
      </c>
      <c r="K139" s="168">
        <v>5.27</v>
      </c>
      <c r="L139" s="168">
        <v>452</v>
      </c>
      <c r="M139" s="168"/>
      <c r="N139" s="168"/>
      <c r="O139" s="168"/>
      <c r="P139" s="164"/>
    </row>
    <row r="140" spans="1:16" ht="14.25">
      <c r="A140" s="183" t="s">
        <v>425</v>
      </c>
      <c r="B140" s="183" t="s">
        <v>288</v>
      </c>
      <c r="C140" s="183" t="s">
        <v>426</v>
      </c>
      <c r="D140" s="184">
        <v>6.5526</v>
      </c>
      <c r="E140" s="185">
        <v>201</v>
      </c>
      <c r="F140" s="185">
        <v>326</v>
      </c>
      <c r="G140" s="186">
        <v>4300</v>
      </c>
      <c r="H140" s="185">
        <v>101.9</v>
      </c>
      <c r="I140" s="186">
        <v>20450</v>
      </c>
      <c r="J140" s="185">
        <v>95</v>
      </c>
      <c r="K140" s="187">
        <v>6.56</v>
      </c>
      <c r="L140" s="187">
        <v>596</v>
      </c>
      <c r="M140" s="187"/>
      <c r="N140" s="187"/>
      <c r="O140" s="187"/>
      <c r="P140" s="183"/>
    </row>
    <row r="141" spans="1:16" ht="14.25">
      <c r="A141" s="169" t="s">
        <v>427</v>
      </c>
      <c r="B141" s="169" t="s">
        <v>288</v>
      </c>
      <c r="C141" s="169" t="s">
        <v>428</v>
      </c>
      <c r="D141" s="170">
        <v>14.2024</v>
      </c>
      <c r="E141" s="171">
        <v>328</v>
      </c>
      <c r="F141" s="171">
        <v>433</v>
      </c>
      <c r="G141" s="172">
        <v>6720</v>
      </c>
      <c r="H141" s="171">
        <v>113</v>
      </c>
      <c r="I141" s="172">
        <v>37238</v>
      </c>
      <c r="J141" s="171">
        <v>195</v>
      </c>
      <c r="K141" s="173">
        <v>6.4</v>
      </c>
      <c r="L141" s="173">
        <v>1045</v>
      </c>
      <c r="M141" s="173"/>
      <c r="N141" s="173"/>
      <c r="O141" s="173"/>
      <c r="P141" s="169"/>
    </row>
    <row r="142" spans="1:16" ht="14.25">
      <c r="A142" s="153" t="s">
        <v>429</v>
      </c>
      <c r="B142" s="174"/>
      <c r="C142" s="174"/>
      <c r="D142" s="175"/>
      <c r="E142" s="176"/>
      <c r="F142" s="176"/>
      <c r="G142" s="177"/>
      <c r="H142" s="176"/>
      <c r="I142" s="177"/>
      <c r="J142" s="176"/>
      <c r="K142" s="178"/>
      <c r="L142" s="178"/>
      <c r="M142" s="178"/>
      <c r="N142" s="178"/>
      <c r="O142" s="178"/>
      <c r="P142" s="179"/>
    </row>
    <row r="143" spans="1:16" ht="14.25">
      <c r="A143" s="183" t="s">
        <v>430</v>
      </c>
      <c r="B143" s="183" t="s">
        <v>150</v>
      </c>
      <c r="C143" s="183" t="s">
        <v>431</v>
      </c>
      <c r="D143" s="184">
        <v>0.025064799999999998</v>
      </c>
      <c r="E143" s="185">
        <v>7.76</v>
      </c>
      <c r="F143" s="185">
        <v>32.3</v>
      </c>
      <c r="G143" s="186">
        <v>560</v>
      </c>
      <c r="H143" s="185">
        <v>31.4</v>
      </c>
      <c r="I143" s="186">
        <v>243</v>
      </c>
      <c r="J143" s="185">
        <v>1.2</v>
      </c>
      <c r="K143" s="187">
        <v>0.12</v>
      </c>
      <c r="L143" s="187"/>
      <c r="M143" s="187"/>
      <c r="N143" s="187"/>
      <c r="O143" s="187"/>
      <c r="P143" s="183"/>
    </row>
    <row r="144" spans="1:16" ht="14.25">
      <c r="A144" s="164" t="s">
        <v>432</v>
      </c>
      <c r="B144" s="164" t="s">
        <v>150</v>
      </c>
      <c r="C144" s="164" t="s">
        <v>433</v>
      </c>
      <c r="D144" s="165">
        <v>0.026928000000000004</v>
      </c>
      <c r="E144" s="166">
        <v>7.65</v>
      </c>
      <c r="F144" s="166">
        <v>35.2</v>
      </c>
      <c r="G144" s="167">
        <v>500</v>
      </c>
      <c r="H144" s="166">
        <v>34.1</v>
      </c>
      <c r="I144" s="167">
        <v>261</v>
      </c>
      <c r="J144" s="166">
        <v>1.3</v>
      </c>
      <c r="K144" s="168">
        <v>0.14</v>
      </c>
      <c r="L144" s="168"/>
      <c r="M144" s="168"/>
      <c r="N144" s="168"/>
      <c r="O144" s="168"/>
      <c r="P144" s="164"/>
    </row>
    <row r="145" spans="1:16" ht="14.25">
      <c r="A145" s="183" t="s">
        <v>434</v>
      </c>
      <c r="B145" s="183" t="s">
        <v>435</v>
      </c>
      <c r="C145" s="183" t="s">
        <v>436</v>
      </c>
      <c r="D145" s="184">
        <v>0.03268</v>
      </c>
      <c r="E145" s="185">
        <v>8.6</v>
      </c>
      <c r="F145" s="185">
        <v>38</v>
      </c>
      <c r="G145" s="186">
        <v>515</v>
      </c>
      <c r="H145" s="185">
        <v>35.7</v>
      </c>
      <c r="I145" s="186">
        <v>300</v>
      </c>
      <c r="J145" s="185">
        <v>1.5</v>
      </c>
      <c r="K145" s="187">
        <v>0.15</v>
      </c>
      <c r="L145" s="187"/>
      <c r="M145" s="187"/>
      <c r="N145" s="187"/>
      <c r="O145" s="187"/>
      <c r="P145" s="183"/>
    </row>
    <row r="146" spans="1:16" ht="14.25">
      <c r="A146" s="164" t="s">
        <v>437</v>
      </c>
      <c r="B146" s="164" t="s">
        <v>435</v>
      </c>
      <c r="C146" s="164" t="s">
        <v>438</v>
      </c>
      <c r="D146" s="165">
        <v>0.07365600000000001</v>
      </c>
      <c r="E146" s="166">
        <v>12.4</v>
      </c>
      <c r="F146" s="166">
        <v>59.4</v>
      </c>
      <c r="G146" s="167">
        <v>720</v>
      </c>
      <c r="H146" s="166">
        <v>40.5</v>
      </c>
      <c r="I146" s="167">
        <v>505</v>
      </c>
      <c r="J146" s="166">
        <v>2.5</v>
      </c>
      <c r="K146" s="168">
        <v>0.26</v>
      </c>
      <c r="L146" s="168"/>
      <c r="M146" s="168"/>
      <c r="N146" s="168"/>
      <c r="O146" s="168"/>
      <c r="P146" s="164"/>
    </row>
    <row r="147" spans="1:16" ht="14.25">
      <c r="A147" s="183" t="s">
        <v>439</v>
      </c>
      <c r="B147" s="183" t="s">
        <v>150</v>
      </c>
      <c r="C147" s="183" t="s">
        <v>440</v>
      </c>
      <c r="D147" s="184">
        <v>0.137409</v>
      </c>
      <c r="E147" s="185">
        <v>16.3</v>
      </c>
      <c r="F147" s="185">
        <v>84.3</v>
      </c>
      <c r="G147" s="186">
        <v>800</v>
      </c>
      <c r="H147" s="185">
        <v>49.2</v>
      </c>
      <c r="I147" s="186">
        <v>803</v>
      </c>
      <c r="J147" s="185">
        <v>4</v>
      </c>
      <c r="K147" s="187">
        <v>0.4</v>
      </c>
      <c r="L147" s="187"/>
      <c r="M147" s="187"/>
      <c r="N147" s="187"/>
      <c r="O147" s="187"/>
      <c r="P147" s="183"/>
    </row>
    <row r="148" spans="1:16" ht="14.25">
      <c r="A148" s="164" t="s">
        <v>441</v>
      </c>
      <c r="B148" s="164" t="s">
        <v>150</v>
      </c>
      <c r="C148" s="164" t="s">
        <v>442</v>
      </c>
      <c r="D148" s="165">
        <v>0.20442500000000002</v>
      </c>
      <c r="E148" s="166">
        <v>32.5</v>
      </c>
      <c r="F148" s="166">
        <v>62.9</v>
      </c>
      <c r="G148" s="167">
        <v>1400</v>
      </c>
      <c r="H148" s="166">
        <v>50.5</v>
      </c>
      <c r="I148" s="167">
        <v>1640</v>
      </c>
      <c r="J148" s="166">
        <v>8.5</v>
      </c>
      <c r="K148" s="168">
        <v>0.83</v>
      </c>
      <c r="L148" s="168"/>
      <c r="M148" s="168"/>
      <c r="N148" s="168"/>
      <c r="O148" s="168"/>
      <c r="P148" s="164"/>
    </row>
    <row r="149" spans="1:16" ht="14.25">
      <c r="A149" s="183" t="s">
        <v>443</v>
      </c>
      <c r="B149" s="183" t="s">
        <v>150</v>
      </c>
      <c r="C149" s="183" t="s">
        <v>444</v>
      </c>
      <c r="D149" s="184">
        <v>0.212135</v>
      </c>
      <c r="E149" s="185">
        <v>31.9</v>
      </c>
      <c r="F149" s="185">
        <v>66.5</v>
      </c>
      <c r="G149" s="186">
        <v>1360</v>
      </c>
      <c r="H149" s="185">
        <v>51.7</v>
      </c>
      <c r="I149" s="186">
        <v>1650</v>
      </c>
      <c r="J149" s="185">
        <v>8.6</v>
      </c>
      <c r="K149" s="187">
        <v>0.83</v>
      </c>
      <c r="L149" s="187"/>
      <c r="M149" s="187"/>
      <c r="N149" s="187"/>
      <c r="O149" s="187"/>
      <c r="P149" s="183"/>
    </row>
    <row r="150" spans="1:16" ht="14.25">
      <c r="A150" s="164" t="s">
        <v>445</v>
      </c>
      <c r="B150" s="164" t="s">
        <v>435</v>
      </c>
      <c r="C150" s="164" t="s">
        <v>446</v>
      </c>
      <c r="D150" s="165">
        <v>0.20832000000000003</v>
      </c>
      <c r="E150" s="166">
        <v>24.8</v>
      </c>
      <c r="F150" s="166">
        <v>84</v>
      </c>
      <c r="G150" s="167">
        <v>1100</v>
      </c>
      <c r="H150" s="166">
        <v>50</v>
      </c>
      <c r="I150" s="167">
        <v>1310</v>
      </c>
      <c r="J150" s="166">
        <v>6.7</v>
      </c>
      <c r="K150" s="168">
        <v>0.66</v>
      </c>
      <c r="L150" s="168"/>
      <c r="M150" s="168"/>
      <c r="N150" s="168"/>
      <c r="O150" s="168"/>
      <c r="P150" s="164"/>
    </row>
    <row r="151" spans="1:16" ht="14.25">
      <c r="A151" s="183" t="s">
        <v>447</v>
      </c>
      <c r="B151" s="183" t="s">
        <v>150</v>
      </c>
      <c r="C151" s="183" t="s">
        <v>448</v>
      </c>
      <c r="D151" s="184">
        <v>0.5164799999999999</v>
      </c>
      <c r="E151" s="185">
        <v>26.9</v>
      </c>
      <c r="F151" s="185">
        <v>192</v>
      </c>
      <c r="G151" s="186">
        <v>750</v>
      </c>
      <c r="H151" s="185">
        <v>78.3</v>
      </c>
      <c r="I151" s="186">
        <v>2100</v>
      </c>
      <c r="J151" s="185">
        <v>10</v>
      </c>
      <c r="K151" s="187">
        <v>1.06</v>
      </c>
      <c r="L151" s="187"/>
      <c r="M151" s="187"/>
      <c r="N151" s="187"/>
      <c r="O151" s="187"/>
      <c r="P151" s="183"/>
    </row>
    <row r="152" spans="1:16" ht="14.25">
      <c r="A152" s="164" t="s">
        <v>449</v>
      </c>
      <c r="B152" s="164" t="s">
        <v>435</v>
      </c>
      <c r="C152" s="164" t="s">
        <v>450</v>
      </c>
      <c r="D152" s="165">
        <v>0.6948000000000001</v>
      </c>
      <c r="E152" s="166">
        <v>36</v>
      </c>
      <c r="F152" s="166">
        <v>193</v>
      </c>
      <c r="G152" s="167">
        <v>980</v>
      </c>
      <c r="H152" s="166">
        <v>83.2</v>
      </c>
      <c r="I152" s="167">
        <v>2990</v>
      </c>
      <c r="J152" s="166">
        <v>15</v>
      </c>
      <c r="K152" s="168">
        <v>1.5</v>
      </c>
      <c r="L152" s="168"/>
      <c r="M152" s="168"/>
      <c r="N152" s="168"/>
      <c r="O152" s="168"/>
      <c r="P152" s="164"/>
    </row>
    <row r="153" spans="1:16" ht="14.25">
      <c r="A153" s="183" t="s">
        <v>451</v>
      </c>
      <c r="B153" s="183" t="s">
        <v>150</v>
      </c>
      <c r="C153" s="183" t="s">
        <v>452</v>
      </c>
      <c r="D153" s="184">
        <v>0.5616</v>
      </c>
      <c r="E153" s="185">
        <v>54</v>
      </c>
      <c r="F153" s="185">
        <v>104</v>
      </c>
      <c r="G153" s="186">
        <v>1760</v>
      </c>
      <c r="H153" s="185">
        <v>68.6</v>
      </c>
      <c r="I153" s="186">
        <v>3700</v>
      </c>
      <c r="J153" s="185">
        <v>19</v>
      </c>
      <c r="K153" s="187">
        <v>1.86</v>
      </c>
      <c r="L153" s="187"/>
      <c r="M153" s="187"/>
      <c r="N153" s="187"/>
      <c r="O153" s="187"/>
      <c r="P153" s="183"/>
    </row>
    <row r="154" spans="1:16" ht="14.25">
      <c r="A154" s="164" t="s">
        <v>453</v>
      </c>
      <c r="B154" s="164" t="s">
        <v>150</v>
      </c>
      <c r="C154" s="164" t="s">
        <v>454</v>
      </c>
      <c r="D154" s="165">
        <v>0.7546</v>
      </c>
      <c r="E154" s="166">
        <v>49</v>
      </c>
      <c r="F154" s="166">
        <v>154</v>
      </c>
      <c r="G154" s="167">
        <v>1530</v>
      </c>
      <c r="H154" s="166">
        <v>72</v>
      </c>
      <c r="I154" s="167">
        <v>3520</v>
      </c>
      <c r="J154" s="166">
        <v>18</v>
      </c>
      <c r="K154" s="168">
        <v>1.77</v>
      </c>
      <c r="L154" s="168"/>
      <c r="M154" s="168"/>
      <c r="N154" s="168"/>
      <c r="O154" s="168"/>
      <c r="P154" s="1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qhsu</dc:creator>
  <cp:keywords/>
  <dc:description/>
  <cp:lastModifiedBy>Staff</cp:lastModifiedBy>
  <dcterms:created xsi:type="dcterms:W3CDTF">2011-08-24T09:02:18Z</dcterms:created>
  <dcterms:modified xsi:type="dcterms:W3CDTF">2015-12-11T00:30:18Z</dcterms:modified>
  <cp:category/>
  <cp:version/>
  <cp:contentType/>
  <cp:contentStatus/>
</cp:coreProperties>
</file>