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506" windowWidth="15045" windowHeight="8820" activeTab="0"/>
  </bookViews>
  <sheets>
    <sheet name="Calculator" sheetId="1" r:id="rId1"/>
    <sheet name="Explanatory notes" sheetId="2" r:id="rId2"/>
    <sheet name="Sheet 1" sheetId="3" state="hidden" r:id="rId3"/>
  </sheets>
  <definedNames/>
  <calcPr fullCalcOnLoad="1"/>
</workbook>
</file>

<file path=xl/sharedStrings.xml><?xml version="1.0" encoding="utf-8"?>
<sst xmlns="http://schemas.openxmlformats.org/spreadsheetml/2006/main" count="217" uniqueCount="140">
  <si>
    <t>V</t>
  </si>
  <si>
    <t>Ω</t>
  </si>
  <si>
    <t>Free-wheel diode forward drop (Vf)</t>
  </si>
  <si>
    <t>kHz</t>
  </si>
  <si>
    <t>mA</t>
  </si>
  <si>
    <t>Iavg</t>
  </si>
  <si>
    <t>Time</t>
  </si>
  <si>
    <t>Iled</t>
  </si>
  <si>
    <t>No. of LEDs (N)</t>
  </si>
  <si>
    <t>Turn on time (Ton)</t>
  </si>
  <si>
    <t>Turn off time (Toff)</t>
  </si>
  <si>
    <t>W</t>
  </si>
  <si>
    <t>Power loss in switch</t>
  </si>
  <si>
    <t>mW</t>
  </si>
  <si>
    <t>Switching power losses</t>
  </si>
  <si>
    <t>Chip power dissipation</t>
  </si>
  <si>
    <t>Power loss in diode</t>
  </si>
  <si>
    <t>Power loss in sense resistor</t>
  </si>
  <si>
    <t>%</t>
  </si>
  <si>
    <t>Power loss in coil</t>
  </si>
  <si>
    <t>Timing information</t>
  </si>
  <si>
    <t>LED Current information</t>
  </si>
  <si>
    <t>Power distribution information</t>
  </si>
  <si>
    <t>Vin</t>
  </si>
  <si>
    <t>Number of</t>
  </si>
  <si>
    <t>Imin</t>
  </si>
  <si>
    <t>Imax</t>
  </si>
  <si>
    <t>Ambient temperature (Tamb)</t>
  </si>
  <si>
    <t>Comparator L&gt;H prop delay (TpdH)</t>
  </si>
  <si>
    <t>ns</t>
  </si>
  <si>
    <t>Comparator H&gt;L prop delay (TpdL)</t>
  </si>
  <si>
    <t>Error o/ps</t>
  </si>
  <si>
    <t>Infinite</t>
  </si>
  <si>
    <t>Log plot with intermediate points</t>
  </si>
  <si>
    <t>ºC/W</t>
  </si>
  <si>
    <t>µA</t>
  </si>
  <si>
    <t>µs</t>
  </si>
  <si>
    <t>µH</t>
  </si>
  <si>
    <t>ºC</t>
  </si>
  <si>
    <t>LEDs</t>
  </si>
  <si>
    <t>Rs</t>
  </si>
  <si>
    <t>L</t>
  </si>
  <si>
    <t>average current during discharge</t>
  </si>
  <si>
    <t>ADJ pin voltage (Vadj)</t>
  </si>
  <si>
    <t>Notes</t>
  </si>
  <si>
    <t>Typical Value</t>
  </si>
  <si>
    <t>7 to 30V</t>
  </si>
  <si>
    <t>1 to 8</t>
  </si>
  <si>
    <t>3.4V</t>
  </si>
  <si>
    <t>0.27 to 1 Ohm</t>
  </si>
  <si>
    <t>47 to 220uH</t>
  </si>
  <si>
    <t>0.1 to 1 Ohm</t>
  </si>
  <si>
    <t xml:space="preserve">Enter a value for Vin. The calculator accepts values between 7V and 30V.  </t>
  </si>
  <si>
    <t>25 Deg C</t>
  </si>
  <si>
    <t>50ns</t>
  </si>
  <si>
    <t>0.36V</t>
  </si>
  <si>
    <t>Enter the forward voltage of the freewheel diode at the required output current. A schottky diode is assumed, but other diodes with higher forward drops are accepted. The maximum allowed voltage is 1.5V.</t>
  </si>
  <si>
    <t>20ns</t>
  </si>
  <si>
    <t>30ns</t>
  </si>
  <si>
    <t>1.5 Ohms</t>
  </si>
  <si>
    <t>200 Deg C/W</t>
  </si>
  <si>
    <t>Minimum LED current</t>
  </si>
  <si>
    <t>This is the 90% to 10% falltime of the voltage on the LX pin at the working voltage. This figure is used to estimate the switching loss during switch turn-on</t>
  </si>
  <si>
    <t>0.2 to 20us</t>
  </si>
  <si>
    <t>0.2 to 0.8</t>
  </si>
  <si>
    <t>100 to 800KHz</t>
  </si>
  <si>
    <t>50 to 400mA</t>
  </si>
  <si>
    <t>20 to 300mA</t>
  </si>
  <si>
    <t>20 to 90mA</t>
  </si>
  <si>
    <t>Maximum LED current</t>
  </si>
  <si>
    <t>Average LED current (Iavg)</t>
  </si>
  <si>
    <t>50 to 350mA</t>
  </si>
  <si>
    <t>50 to 300mW</t>
  </si>
  <si>
    <t>1 to 3 W</t>
  </si>
  <si>
    <t>80 to 90%</t>
  </si>
  <si>
    <t>Current sense resistor (Rs)</t>
  </si>
  <si>
    <t>Switch resistance at Tj</t>
  </si>
  <si>
    <t>This is the temperature adjusted value of switch resistance, calculated from the estimated die temperature and the nominal characteristics of the switch. At high die temperatures, this value can be re-entered into the calculator (as LX switch resistance at Tamb) to provide more accurate estimates of efficiency and power losses.</t>
  </si>
  <si>
    <t>This is calculated from the entered value for package thermal resistance and the calculated power losses. A warning is given if the estimated die temperature exceeds 150 Deg C.</t>
  </si>
  <si>
    <t>250 - 280uA</t>
  </si>
  <si>
    <t>This is the datasheet value of package thermal resistance based upon a 25mm x 25mm PCB with 1 ounce copper in still air.  Alternative values can be entered for other operating conditions and board layouts. This figure is used in conjunction with Tamb to estimate die temperature and switch resistance at the operating temperature.</t>
  </si>
  <si>
    <t>Additional outputs</t>
  </si>
  <si>
    <t>Input your figures here</t>
  </si>
  <si>
    <t>Input parameters</t>
  </si>
  <si>
    <t>Supply voltage (Vin)</t>
  </si>
  <si>
    <t>LED forward voltage (VLED)</t>
  </si>
  <si>
    <t>Coil inductance (L)</t>
  </si>
  <si>
    <t>Coil resistance (rL)</t>
  </si>
  <si>
    <t>LX voltage risetime (Tr)</t>
  </si>
  <si>
    <t>LX voltage falltime (Tf)</t>
  </si>
  <si>
    <t>LX switch resistance at Tamb</t>
  </si>
  <si>
    <t>Package thermal resistance (Ø jA)</t>
  </si>
  <si>
    <t>Duty cycle (D)</t>
  </si>
  <si>
    <t>Switching frequency (f)</t>
  </si>
  <si>
    <t>LED current information</t>
  </si>
  <si>
    <t>Peak-peak LED ripple current</t>
  </si>
  <si>
    <t>Output power</t>
  </si>
  <si>
    <t>Chip supply current</t>
  </si>
  <si>
    <t>Theoretical efficiency</t>
  </si>
  <si>
    <t>Input current</t>
  </si>
  <si>
    <t>Estimated die temperature (Tj)</t>
  </si>
  <si>
    <t>Your results</t>
  </si>
  <si>
    <t>Your graphs</t>
  </si>
  <si>
    <t xml:space="preserve">Input parameters - advanced </t>
  </si>
  <si>
    <t>ZXLD1350 calculator - issue 1.0</t>
  </si>
  <si>
    <t xml:space="preserve">The ZXLD1350 calculator is a tool for estimating the performance of the ZXLD1350 in various applications. It allows the effects of different external component values to be evaluated easily, saving both time and cost compared to full circuit simulation or physical construction. The following notes give guidelines for the entry of data and explanations of the meaning of the calculator outputs. </t>
  </si>
  <si>
    <t>Note that this calculator uses mathematical equations to model the behaviour of a typical device in a semi-ideal manner. Differences will exist between the calculated and real device performance, particularly at extremes of supply voltage and with high circuit resistances.</t>
  </si>
  <si>
    <t>Enter the number of series connected LEDs in the application. The value must be an integer less than 10. The calculator issues warnings if the total LED voltage drop (N x VLED) is within 1.2V of Vin.</t>
  </si>
  <si>
    <t>Enter a value for the forward voltage of the LED at the required average output current. The calculator issues a warning for values above 5V.</t>
  </si>
  <si>
    <t>Enter a resistor value to set the nominal average output current according to the expression  Iavg(mA)=100/Rs. A nominal voltage of 1.25V on the ADJ pin is assumed. The minimum allowed value of Rs is 0.27 Ohms. A warning is issued for Rs&gt;10 Ohms.</t>
  </si>
  <si>
    <t>Enter the coil inductance at the working current. The calculator accepts values between 33 and 1000uH. The coil inductance is assumed to be constant within the operating current range.</t>
  </si>
  <si>
    <t>Enter the coil DC winding resistance. The calculator accepts values between 0 and 10 Ohms. The resistance is assumed to be constant over the operating conditions.</t>
  </si>
  <si>
    <t>Enter the device ambient temperature. The calculator accepts values in the range -40&lt;Tamb&lt;105 Deg C.</t>
  </si>
  <si>
    <t>This is the nominal propagation delay of the comparator as the output current crosses through the ideal lower threshold current (Imin). This value is fixed by the device, but can be adjusted in the calculator to show the effect of undershoot in the application. Allow for device -device variations of +/-40%.</t>
  </si>
  <si>
    <t>This is the nominal propagation delay of the comparator as the output current crosses through the ideal upper threshold current (Imax). This value is fixed by the device, but can be adjusted in the calculator to show the effect of overshoot in the application. Allow for device -device variations of +/-40%.</t>
  </si>
  <si>
    <t>This is the 10% to 90% risetime of the voltage on the LX pin at the working voltage. This figure is used to estimate the switching loss during switch turn-off.</t>
  </si>
  <si>
    <t>This is the datasheet value of switch resistance. The value of 1.5 Ohms is the nominal value at Tamb=25 Deg C.</t>
  </si>
  <si>
    <r>
      <t xml:space="preserve">This is the DC voltage on the ADJ pin. (=1.25V nominal) The calculator will accept alternative voltages in the range 0.3&lt;Vadj&lt;2.5V. </t>
    </r>
    <r>
      <rPr>
        <b/>
        <sz val="9"/>
        <rFont val="Arial"/>
        <family val="2"/>
      </rPr>
      <t>Note: When Vadj is increased above 1.25V, the output current will increase proportionally.</t>
    </r>
  </si>
  <si>
    <t>Output parameters</t>
  </si>
  <si>
    <t>The power loss in the switch is calculated from the average switch current and the nominal switch resistance.</t>
  </si>
  <si>
    <t>This is the time taken for the output current to rise from minimum to maximum (switch on).</t>
  </si>
  <si>
    <t>This is the time taken for the output current to fall from maximum to minimum (switch off).</t>
  </si>
  <si>
    <t>This is the duty cycle of the output current =Ton/(Ton+Toff).</t>
  </si>
  <si>
    <t>This is the switching frequency of the control loop =1/(Ton+Toff).</t>
  </si>
  <si>
    <t>This is the maximum value of LED current including overshoot due to comparator L&gt;H propagation delay.</t>
  </si>
  <si>
    <t>This is the minimum value of LED current including undershoot due to comparator H&gt;L propagation delay.</t>
  </si>
  <si>
    <t>This is the difference between the maximum and minimum output currents including overshoot and undershoot.</t>
  </si>
  <si>
    <t>This is the true average output current calculated from the output waveform including overshoot and undershoot.</t>
  </si>
  <si>
    <t>This is the average power in the load =N x ILED x VLED.</t>
  </si>
  <si>
    <t>This is the nominal operating supply current of the chip at voltage Vin, based upon a typical device.</t>
  </si>
  <si>
    <t>The switching power losses are calculated from the voltage swing on the LX pin, the output current and the rise/fall times of the switch voltage.</t>
  </si>
  <si>
    <t>This is the total chip power dissipation including the power loss in the switch, the power loss due to supply current and the switching power losses.</t>
  </si>
  <si>
    <t>The power loss in the diode is calculated from the average diode current and the forward voltage drop. Power losses due to charge storage and recovery time are ignored.</t>
  </si>
  <si>
    <t>This is the average power in the sense resistor =ILED x ILED x Rs</t>
  </si>
  <si>
    <t>This is the power loss in the coil winding resistance =ILED x ILED x rL. Other losses (e.g core losses) are ignored.</t>
  </si>
  <si>
    <t>The theoretical efficiency is calculated as a percentage of total average power out/total average power in.</t>
  </si>
  <si>
    <t>This is the average input supply current, calculated from the output current and including efficiency losses.</t>
  </si>
  <si>
    <t xml:space="preserve">Average </t>
  </si>
  <si>
    <t>LED current</t>
  </si>
  <si>
    <t>ZXLD1350 calculator - issue 2.0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</si>
</sst>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_ ;[Red]\-0.0\ "/>
    <numFmt numFmtId="166" formatCode="0.00_ ;[Red]\-0.00\ "/>
    <numFmt numFmtId="167" formatCode="&quot;Yes&quot;;&quot;Yes&quot;;&quot;No&quot;"/>
    <numFmt numFmtId="168" formatCode="&quot;True&quot;;&quot;True&quot;;&quot;False&quot;"/>
    <numFmt numFmtId="169" formatCode="&quot;On&quot;;&quot;On&quot;;&quot;Off&quot;"/>
    <numFmt numFmtId="170" formatCode="[$€-2]\ #,##0.00_);[Red]\([$€-2]\ #,##0.00\)"/>
    <numFmt numFmtId="171" formatCode="0.000"/>
    <numFmt numFmtId="172" formatCode="0.00000"/>
  </numFmts>
  <fonts count="20">
    <font>
      <sz val="10"/>
      <name val="Arial"/>
      <family val="0"/>
    </font>
    <font>
      <u val="single"/>
      <sz val="7.5"/>
      <color indexed="12"/>
      <name val="Arial"/>
      <family val="0"/>
    </font>
    <font>
      <u val="single"/>
      <sz val="7.5"/>
      <color indexed="36"/>
      <name val="Arial"/>
      <family val="0"/>
    </font>
    <font>
      <b/>
      <sz val="8"/>
      <name val="Arial"/>
      <family val="0"/>
    </font>
    <font>
      <sz val="5.5"/>
      <name val="Arial"/>
      <family val="0"/>
    </font>
    <font>
      <sz val="8"/>
      <name val="Arial"/>
      <family val="0"/>
    </font>
    <font>
      <sz val="9"/>
      <color indexed="9"/>
      <name val="Arial"/>
      <family val="2"/>
    </font>
    <font>
      <b/>
      <sz val="9"/>
      <color indexed="9"/>
      <name val="Arial"/>
      <family val="2"/>
    </font>
    <font>
      <sz val="10"/>
      <color indexed="9"/>
      <name val="Arial"/>
      <family val="2"/>
    </font>
    <font>
      <sz val="10"/>
      <color indexed="12"/>
      <name val="Arial"/>
      <family val="0"/>
    </font>
    <font>
      <b/>
      <u val="single"/>
      <sz val="16"/>
      <name val="Arial"/>
      <family val="0"/>
    </font>
    <font>
      <b/>
      <sz val="10"/>
      <name val="Arial"/>
      <family val="2"/>
    </font>
    <font>
      <b/>
      <sz val="9"/>
      <name val="Arial"/>
      <family val="2"/>
    </font>
    <font>
      <sz val="9"/>
      <name val="Arial"/>
      <family val="2"/>
    </font>
    <font>
      <sz val="8"/>
      <color indexed="12"/>
      <name val="Arial"/>
      <family val="0"/>
    </font>
    <font>
      <sz val="7.5"/>
      <name val="Arial"/>
      <family val="0"/>
    </font>
    <font>
      <sz val="7.5"/>
      <color indexed="12"/>
      <name val="Arial"/>
      <family val="0"/>
    </font>
    <font>
      <b/>
      <sz val="7.5"/>
      <name val="Arial"/>
      <family val="0"/>
    </font>
    <font>
      <b/>
      <sz val="14"/>
      <name val="Arial"/>
      <family val="2"/>
    </font>
    <font>
      <b/>
      <sz val="16"/>
      <name val="Arial"/>
      <family val="2"/>
    </font>
  </fonts>
  <fills count="7">
    <fill>
      <patternFill/>
    </fill>
    <fill>
      <patternFill patternType="gray125"/>
    </fill>
    <fill>
      <patternFill patternType="solid">
        <fgColor indexed="9"/>
        <bgColor indexed="64"/>
      </patternFill>
    </fill>
    <fill>
      <patternFill patternType="solid">
        <fgColor indexed="51"/>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s>
  <borders count="19">
    <border>
      <left/>
      <right/>
      <top/>
      <bottom/>
      <diagonal/>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color indexed="63"/>
      </right>
      <top style="medium"/>
      <bottom style="mediu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53">
    <xf numFmtId="0" fontId="0" fillId="0" borderId="0" xfId="0" applyAlignment="1">
      <alignment/>
    </xf>
    <xf numFmtId="2" fontId="6" fillId="2" borderId="0" xfId="0" applyNumberFormat="1" applyFont="1" applyFill="1" applyBorder="1" applyAlignment="1" applyProtection="1">
      <alignment/>
      <protection hidden="1"/>
    </xf>
    <xf numFmtId="164" fontId="6" fillId="2" borderId="0" xfId="0" applyNumberFormat="1" applyFont="1" applyFill="1" applyBorder="1" applyAlignment="1" applyProtection="1">
      <alignment/>
      <protection hidden="1"/>
    </xf>
    <xf numFmtId="164" fontId="6" fillId="2" borderId="0" xfId="0" applyNumberFormat="1" applyFont="1" applyFill="1" applyBorder="1" applyAlignment="1" applyProtection="1">
      <alignment/>
      <protection hidden="1"/>
    </xf>
    <xf numFmtId="49" fontId="7" fillId="2" borderId="0" xfId="0" applyNumberFormat="1" applyFont="1" applyFill="1" applyAlignment="1" applyProtection="1">
      <alignment/>
      <protection hidden="1"/>
    </xf>
    <xf numFmtId="1" fontId="7" fillId="2" borderId="0" xfId="0" applyNumberFormat="1" applyFont="1" applyFill="1" applyAlignment="1" applyProtection="1">
      <alignment/>
      <protection hidden="1"/>
    </xf>
    <xf numFmtId="0" fontId="7" fillId="2" borderId="0" xfId="0" applyFont="1" applyFill="1" applyAlignment="1" applyProtection="1">
      <alignment/>
      <protection hidden="1"/>
    </xf>
    <xf numFmtId="0" fontId="8" fillId="2" borderId="0" xfId="0" applyFont="1" applyFill="1" applyAlignment="1" applyProtection="1">
      <alignment/>
      <protection hidden="1"/>
    </xf>
    <xf numFmtId="0" fontId="6" fillId="2" borderId="0" xfId="0" applyFont="1" applyFill="1" applyAlignment="1" applyProtection="1">
      <alignment/>
      <protection hidden="1"/>
    </xf>
    <xf numFmtId="164" fontId="7" fillId="2" borderId="0" xfId="0" applyNumberFormat="1" applyFont="1" applyFill="1" applyAlignment="1" applyProtection="1">
      <alignment/>
      <protection hidden="1"/>
    </xf>
    <xf numFmtId="0" fontId="6" fillId="2" borderId="0" xfId="0" applyFont="1" applyFill="1" applyBorder="1" applyAlignment="1" applyProtection="1">
      <alignment/>
      <protection hidden="1"/>
    </xf>
    <xf numFmtId="164" fontId="6" fillId="2" borderId="0" xfId="0" applyNumberFormat="1" applyFont="1" applyFill="1" applyAlignment="1" applyProtection="1">
      <alignment/>
      <protection hidden="1"/>
    </xf>
    <xf numFmtId="2" fontId="6" fillId="2" borderId="0" xfId="0" applyNumberFormat="1" applyFont="1" applyFill="1" applyAlignment="1" applyProtection="1">
      <alignment/>
      <protection hidden="1"/>
    </xf>
    <xf numFmtId="171" fontId="6" fillId="2" borderId="0" xfId="0" applyNumberFormat="1" applyFont="1" applyFill="1" applyBorder="1" applyAlignment="1" applyProtection="1">
      <alignment/>
      <protection hidden="1"/>
    </xf>
    <xf numFmtId="172" fontId="6" fillId="2" borderId="0" xfId="0" applyNumberFormat="1" applyFont="1" applyFill="1" applyAlignment="1" applyProtection="1">
      <alignment/>
      <protection hidden="1"/>
    </xf>
    <xf numFmtId="0" fontId="6" fillId="2" borderId="0" xfId="0" applyNumberFormat="1" applyFont="1" applyFill="1" applyAlignment="1" applyProtection="1">
      <alignment/>
      <protection hidden="1"/>
    </xf>
    <xf numFmtId="0" fontId="0" fillId="2" borderId="0" xfId="0" applyFill="1" applyAlignment="1" applyProtection="1">
      <alignment/>
      <protection hidden="1"/>
    </xf>
    <xf numFmtId="0" fontId="0" fillId="0" borderId="0" xfId="0" applyFont="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164" fontId="0" fillId="0" borderId="0" xfId="0" applyNumberFormat="1" applyFont="1" applyBorder="1" applyAlignment="1" applyProtection="1">
      <alignment/>
      <protection hidden="1"/>
    </xf>
    <xf numFmtId="0" fontId="0" fillId="0" borderId="0" xfId="0" applyFont="1" applyBorder="1" applyAlignment="1" applyProtection="1">
      <alignment horizontal="center" vertical="center"/>
      <protection hidden="1"/>
    </xf>
    <xf numFmtId="0" fontId="9" fillId="0" borderId="0" xfId="0" applyFont="1" applyAlignment="1" applyProtection="1">
      <alignment/>
      <protection hidden="1"/>
    </xf>
    <xf numFmtId="0" fontId="0" fillId="0" borderId="0" xfId="0" applyFont="1" applyAlignment="1" applyProtection="1">
      <alignment/>
      <protection hidden="1"/>
    </xf>
    <xf numFmtId="0" fontId="0" fillId="0" borderId="0" xfId="0" applyFont="1" applyFill="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0" fontId="0" fillId="0" borderId="0" xfId="0" applyFont="1" applyBorder="1" applyAlignment="1" applyProtection="1">
      <alignment/>
      <protection hidden="1"/>
    </xf>
    <xf numFmtId="0" fontId="9" fillId="0" borderId="0" xfId="0" applyFont="1" applyBorder="1" applyAlignment="1" applyProtection="1">
      <alignment/>
      <protection hidden="1"/>
    </xf>
    <xf numFmtId="0" fontId="0" fillId="0" borderId="0" xfId="0" applyFont="1" applyFill="1" applyBorder="1" applyAlignment="1" applyProtection="1" quotePrefix="1">
      <alignment/>
      <protection hidden="1"/>
    </xf>
    <xf numFmtId="164" fontId="0" fillId="0" borderId="0" xfId="0" applyNumberFormat="1" applyFont="1" applyAlignment="1" applyProtection="1">
      <alignment/>
      <protection hidden="1"/>
    </xf>
    <xf numFmtId="0" fontId="0" fillId="0" borderId="0" xfId="0" applyFont="1" applyFill="1" applyBorder="1" applyAlignment="1" applyProtection="1">
      <alignment/>
      <protection hidden="1"/>
    </xf>
    <xf numFmtId="164" fontId="0" fillId="0" borderId="0" xfId="0" applyNumberFormat="1" applyFont="1" applyBorder="1" applyAlignment="1" applyProtection="1">
      <alignment/>
      <protection hidden="1"/>
    </xf>
    <xf numFmtId="0" fontId="10" fillId="0" borderId="0" xfId="0" applyFont="1" applyBorder="1" applyAlignment="1" applyProtection="1">
      <alignment/>
      <protection hidden="1"/>
    </xf>
    <xf numFmtId="0" fontId="0" fillId="0" borderId="0" xfId="0" applyFont="1" applyAlignment="1">
      <alignment/>
    </xf>
    <xf numFmtId="0" fontId="0" fillId="0" borderId="0" xfId="0" applyFont="1" applyAlignment="1">
      <alignment/>
    </xf>
    <xf numFmtId="0" fontId="0" fillId="0" borderId="0" xfId="0" applyFont="1" applyBorder="1" applyAlignment="1" applyProtection="1">
      <alignment/>
      <protection hidden="1"/>
    </xf>
    <xf numFmtId="0" fontId="0" fillId="0" borderId="0" xfId="0" applyAlignment="1">
      <alignment wrapText="1"/>
    </xf>
    <xf numFmtId="0" fontId="0" fillId="0" borderId="0" xfId="0" applyBorder="1" applyAlignment="1">
      <alignment wrapText="1"/>
    </xf>
    <xf numFmtId="0" fontId="0" fillId="0" borderId="0" xfId="0" applyBorder="1" applyAlignment="1">
      <alignment/>
    </xf>
    <xf numFmtId="0" fontId="5" fillId="0" borderId="0" xfId="0" applyFont="1" applyBorder="1" applyAlignment="1" applyProtection="1">
      <alignment/>
      <protection hidden="1"/>
    </xf>
    <xf numFmtId="0" fontId="14" fillId="0" borderId="0" xfId="0" applyFont="1" applyBorder="1" applyAlignment="1" applyProtection="1">
      <alignment/>
      <protection hidden="1"/>
    </xf>
    <xf numFmtId="0" fontId="5" fillId="0" borderId="0" xfId="0" applyFont="1" applyAlignment="1" applyProtection="1">
      <alignment/>
      <protection hidden="1"/>
    </xf>
    <xf numFmtId="0" fontId="5" fillId="0" borderId="0" xfId="0" applyFont="1" applyFill="1" applyBorder="1" applyAlignment="1" applyProtection="1">
      <alignment/>
      <protection hidden="1"/>
    </xf>
    <xf numFmtId="164" fontId="3" fillId="0" borderId="0" xfId="0" applyNumberFormat="1" applyFont="1" applyFill="1" applyBorder="1" applyAlignment="1" applyProtection="1">
      <alignment/>
      <protection hidden="1"/>
    </xf>
    <xf numFmtId="164" fontId="5" fillId="0" borderId="0" xfId="0" applyNumberFormat="1" applyFont="1" applyFill="1" applyBorder="1" applyAlignment="1" applyProtection="1">
      <alignment/>
      <protection hidden="1"/>
    </xf>
    <xf numFmtId="0" fontId="15" fillId="0" borderId="0" xfId="0" applyFont="1" applyBorder="1" applyAlignment="1" applyProtection="1">
      <alignment/>
      <protection hidden="1"/>
    </xf>
    <xf numFmtId="0" fontId="16" fillId="0" borderId="0" xfId="0" applyFont="1" applyAlignment="1" applyProtection="1">
      <alignment/>
      <protection hidden="1"/>
    </xf>
    <xf numFmtId="0" fontId="15" fillId="3" borderId="1" xfId="0" applyFont="1" applyFill="1" applyBorder="1" applyAlignment="1" applyProtection="1">
      <alignment/>
      <protection hidden="1"/>
    </xf>
    <xf numFmtId="0" fontId="16" fillId="0" borderId="0" xfId="0" applyFont="1" applyBorder="1" applyAlignment="1" applyProtection="1">
      <alignment horizontal="left" vertical="center"/>
      <protection hidden="1"/>
    </xf>
    <xf numFmtId="0" fontId="15" fillId="3" borderId="1" xfId="0" applyFont="1" applyFill="1" applyBorder="1" applyAlignment="1" applyProtection="1" quotePrefix="1">
      <alignment/>
      <protection hidden="1"/>
    </xf>
    <xf numFmtId="0" fontId="16" fillId="0" borderId="0" xfId="0" applyFont="1" applyBorder="1" applyAlignment="1" applyProtection="1">
      <alignment/>
      <protection hidden="1"/>
    </xf>
    <xf numFmtId="0" fontId="15" fillId="0" borderId="0" xfId="0" applyFont="1" applyAlignment="1" applyProtection="1">
      <alignment/>
      <protection hidden="1"/>
    </xf>
    <xf numFmtId="164" fontId="15" fillId="0" borderId="0" xfId="0" applyNumberFormat="1" applyFont="1" applyAlignment="1" applyProtection="1">
      <alignment/>
      <protection hidden="1"/>
    </xf>
    <xf numFmtId="0" fontId="15" fillId="0" borderId="0" xfId="0" applyFont="1" applyFill="1" applyBorder="1" applyAlignment="1" applyProtection="1">
      <alignment/>
      <protection hidden="1"/>
    </xf>
    <xf numFmtId="164" fontId="15" fillId="0" borderId="0" xfId="0" applyNumberFormat="1" applyFont="1" applyFill="1" applyBorder="1" applyAlignment="1" applyProtection="1">
      <alignment/>
      <protection hidden="1"/>
    </xf>
    <xf numFmtId="0" fontId="15" fillId="3" borderId="2" xfId="0" applyFont="1" applyFill="1" applyBorder="1" applyAlignment="1" applyProtection="1">
      <alignment/>
      <protection hidden="1"/>
    </xf>
    <xf numFmtId="164" fontId="17" fillId="3" borderId="0" xfId="0" applyNumberFormat="1" applyFont="1" applyFill="1" applyBorder="1" applyAlignment="1" applyProtection="1">
      <alignment/>
      <protection hidden="1" locked="0"/>
    </xf>
    <xf numFmtId="0" fontId="15" fillId="0" borderId="0" xfId="0" applyFont="1" applyAlignment="1">
      <alignment/>
    </xf>
    <xf numFmtId="0" fontId="17" fillId="3" borderId="0" xfId="0" applyFont="1" applyFill="1" applyBorder="1" applyAlignment="1" applyProtection="1">
      <alignment/>
      <protection hidden="1" locked="0"/>
    </xf>
    <xf numFmtId="0" fontId="17" fillId="3" borderId="3" xfId="0" applyFont="1" applyFill="1" applyBorder="1" applyAlignment="1" applyProtection="1">
      <alignment/>
      <protection hidden="1" locked="0"/>
    </xf>
    <xf numFmtId="0" fontId="18" fillId="0" borderId="0" xfId="0" applyFont="1" applyBorder="1" applyAlignment="1" applyProtection="1">
      <alignment/>
      <protection hidden="1"/>
    </xf>
    <xf numFmtId="164" fontId="18" fillId="0" borderId="0" xfId="0" applyNumberFormat="1" applyFont="1" applyBorder="1" applyAlignment="1" applyProtection="1">
      <alignment/>
      <protection hidden="1"/>
    </xf>
    <xf numFmtId="0" fontId="15" fillId="4" borderId="4" xfId="0" applyFont="1" applyFill="1" applyBorder="1" applyAlignment="1" applyProtection="1">
      <alignment/>
      <protection hidden="1"/>
    </xf>
    <xf numFmtId="0" fontId="15" fillId="5" borderId="5" xfId="0" applyFont="1" applyFill="1" applyBorder="1" applyAlignment="1" applyProtection="1">
      <alignment/>
      <protection hidden="1"/>
    </xf>
    <xf numFmtId="0" fontId="15" fillId="5" borderId="6" xfId="0" applyFont="1" applyFill="1" applyBorder="1" applyAlignment="1" applyProtection="1">
      <alignment/>
      <protection hidden="1"/>
    </xf>
    <xf numFmtId="0" fontId="15" fillId="4" borderId="7" xfId="0" applyFont="1" applyFill="1" applyBorder="1" applyAlignment="1" applyProtection="1">
      <alignment/>
      <protection hidden="1"/>
    </xf>
    <xf numFmtId="164" fontId="15" fillId="4" borderId="8" xfId="0" applyNumberFormat="1" applyFont="1" applyFill="1" applyBorder="1" applyAlignment="1" applyProtection="1">
      <alignment/>
      <protection hidden="1"/>
    </xf>
    <xf numFmtId="0" fontId="15" fillId="4" borderId="9" xfId="0" applyFont="1" applyFill="1" applyBorder="1" applyAlignment="1" applyProtection="1">
      <alignment/>
      <protection hidden="1"/>
    </xf>
    <xf numFmtId="164" fontId="15" fillId="4" borderId="7" xfId="0" applyNumberFormat="1" applyFont="1" applyFill="1" applyBorder="1" applyAlignment="1" applyProtection="1">
      <alignment/>
      <protection hidden="1"/>
    </xf>
    <xf numFmtId="0" fontId="15" fillId="5" borderId="10" xfId="0" applyFont="1" applyFill="1" applyBorder="1" applyAlignment="1" applyProtection="1">
      <alignment/>
      <protection hidden="1"/>
    </xf>
    <xf numFmtId="0" fontId="15" fillId="5" borderId="11" xfId="0" applyFont="1" applyFill="1" applyBorder="1" applyAlignment="1" applyProtection="1">
      <alignment/>
      <protection hidden="1"/>
    </xf>
    <xf numFmtId="0" fontId="15" fillId="5" borderId="12" xfId="0" applyFont="1" applyFill="1" applyBorder="1" applyAlignment="1" applyProtection="1">
      <alignment/>
      <protection hidden="1"/>
    </xf>
    <xf numFmtId="0" fontId="15" fillId="5" borderId="13" xfId="0" applyFont="1" applyFill="1" applyBorder="1" applyAlignment="1" applyProtection="1">
      <alignment/>
      <protection hidden="1"/>
    </xf>
    <xf numFmtId="0" fontId="15" fillId="3" borderId="1" xfId="0" applyFont="1" applyFill="1" applyBorder="1" applyAlignment="1" applyProtection="1">
      <alignment/>
      <protection hidden="1"/>
    </xf>
    <xf numFmtId="0" fontId="15" fillId="3" borderId="2" xfId="0" applyFont="1" applyFill="1" applyBorder="1" applyAlignment="1" applyProtection="1">
      <alignment/>
      <protection hidden="1"/>
    </xf>
    <xf numFmtId="164" fontId="17" fillId="3" borderId="5" xfId="0" applyNumberFormat="1" applyFont="1" applyFill="1" applyBorder="1" applyAlignment="1" applyProtection="1">
      <alignment horizontal="right"/>
      <protection locked="0"/>
    </xf>
    <xf numFmtId="2" fontId="17" fillId="3" borderId="5" xfId="0" applyNumberFormat="1" applyFont="1" applyFill="1" applyBorder="1" applyAlignment="1" applyProtection="1">
      <alignment horizontal="right"/>
      <protection locked="0"/>
    </xf>
    <xf numFmtId="2" fontId="17" fillId="3" borderId="6" xfId="0" applyNumberFormat="1" applyFont="1" applyFill="1" applyBorder="1" applyAlignment="1" applyProtection="1">
      <alignment horizontal="right"/>
      <protection locked="0"/>
    </xf>
    <xf numFmtId="0" fontId="15" fillId="6" borderId="1" xfId="0" applyFont="1" applyFill="1" applyBorder="1" applyAlignment="1" applyProtection="1" quotePrefix="1">
      <alignment/>
      <protection hidden="1"/>
    </xf>
    <xf numFmtId="0" fontId="15" fillId="6" borderId="1" xfId="0" applyFont="1" applyFill="1" applyBorder="1" applyAlignment="1" applyProtection="1">
      <alignment/>
      <protection hidden="1"/>
    </xf>
    <xf numFmtId="164" fontId="17" fillId="6" borderId="6" xfId="0" applyNumberFormat="1" applyFont="1" applyFill="1" applyBorder="1" applyAlignment="1" applyProtection="1">
      <alignment/>
      <protection hidden="1"/>
    </xf>
    <xf numFmtId="0" fontId="15" fillId="6" borderId="2" xfId="0" applyFont="1" applyFill="1" applyBorder="1" applyAlignment="1" applyProtection="1">
      <alignment/>
      <protection hidden="1"/>
    </xf>
    <xf numFmtId="164" fontId="3" fillId="6" borderId="14" xfId="0" applyNumberFormat="1" applyFont="1" applyFill="1" applyBorder="1" applyAlignment="1" applyProtection="1">
      <alignment horizontal="center"/>
      <protection hidden="1"/>
    </xf>
    <xf numFmtId="1" fontId="17" fillId="3" borderId="5" xfId="0" applyNumberFormat="1" applyFont="1" applyFill="1" applyBorder="1" applyAlignment="1" applyProtection="1">
      <alignment horizontal="right"/>
      <protection locked="0"/>
    </xf>
    <xf numFmtId="166" fontId="17" fillId="3" borderId="5" xfId="0" applyNumberFormat="1" applyFont="1" applyFill="1" applyBorder="1" applyAlignment="1" applyProtection="1">
      <alignment/>
      <protection locked="0"/>
    </xf>
    <xf numFmtId="164" fontId="3" fillId="3" borderId="14" xfId="0" applyNumberFormat="1" applyFont="1" applyFill="1" applyBorder="1" applyAlignment="1" applyProtection="1">
      <alignment horizontal="center"/>
      <protection hidden="1"/>
    </xf>
    <xf numFmtId="1" fontId="3" fillId="3" borderId="15" xfId="0" applyNumberFormat="1" applyFont="1" applyFill="1" applyBorder="1" applyAlignment="1" applyProtection="1">
      <alignment horizontal="center"/>
      <protection hidden="1"/>
    </xf>
    <xf numFmtId="2" fontId="17" fillId="6" borderId="13" xfId="0" applyNumberFormat="1" applyFont="1" applyFill="1" applyBorder="1" applyAlignment="1" applyProtection="1">
      <alignment/>
      <protection hidden="1"/>
    </xf>
    <xf numFmtId="0" fontId="15" fillId="6" borderId="9" xfId="0" applyFont="1" applyFill="1" applyBorder="1" applyAlignment="1" applyProtection="1">
      <alignment/>
      <protection hidden="1"/>
    </xf>
    <xf numFmtId="2" fontId="17" fillId="6" borderId="5" xfId="0" applyNumberFormat="1" applyFont="1" applyFill="1" applyBorder="1" applyAlignment="1" applyProtection="1">
      <alignment/>
      <protection hidden="1"/>
    </xf>
    <xf numFmtId="164" fontId="17" fillId="6" borderId="5" xfId="0" applyNumberFormat="1" applyFont="1" applyFill="1" applyBorder="1" applyAlignment="1" applyProtection="1">
      <alignment/>
      <protection hidden="1"/>
    </xf>
    <xf numFmtId="0" fontId="15" fillId="6" borderId="2" xfId="0" applyFont="1" applyFill="1" applyBorder="1" applyAlignment="1" applyProtection="1" quotePrefix="1">
      <alignment/>
      <protection hidden="1"/>
    </xf>
    <xf numFmtId="164" fontId="17" fillId="6" borderId="13" xfId="0" applyNumberFormat="1" applyFont="1" applyFill="1" applyBorder="1" applyAlignment="1" applyProtection="1">
      <alignment/>
      <protection hidden="1"/>
    </xf>
    <xf numFmtId="164" fontId="17" fillId="6" borderId="0" xfId="0" applyNumberFormat="1" applyFont="1" applyFill="1" applyBorder="1" applyAlignment="1" applyProtection="1">
      <alignment/>
      <protection hidden="1"/>
    </xf>
    <xf numFmtId="0" fontId="17" fillId="6" borderId="1" xfId="0" applyFont="1" applyFill="1" applyBorder="1" applyAlignment="1" applyProtection="1">
      <alignment/>
      <protection hidden="1"/>
    </xf>
    <xf numFmtId="164" fontId="17" fillId="6" borderId="3" xfId="0" applyNumberFormat="1" applyFont="1" applyFill="1" applyBorder="1" applyAlignment="1" applyProtection="1">
      <alignment/>
      <protection hidden="1"/>
    </xf>
    <xf numFmtId="0" fontId="17" fillId="6" borderId="2" xfId="0" applyFont="1" applyFill="1" applyBorder="1" applyAlignment="1" applyProtection="1">
      <alignment/>
      <protection hidden="1"/>
    </xf>
    <xf numFmtId="0" fontId="5" fillId="0" borderId="16" xfId="0" applyFont="1" applyFill="1" applyBorder="1" applyAlignment="1" applyProtection="1">
      <alignment horizontal="center"/>
      <protection hidden="1"/>
    </xf>
    <xf numFmtId="0" fontId="0" fillId="0" borderId="0" xfId="0" applyFont="1" applyFill="1" applyAlignment="1">
      <alignment/>
    </xf>
    <xf numFmtId="0" fontId="5" fillId="0" borderId="16" xfId="0" applyFont="1" applyFill="1" applyBorder="1" applyAlignment="1" applyProtection="1">
      <alignment horizontal="center" vertical="center"/>
      <protection hidden="1"/>
    </xf>
    <xf numFmtId="0" fontId="0" fillId="0" borderId="0" xfId="0" applyFont="1" applyFill="1" applyAlignment="1" applyProtection="1">
      <alignment/>
      <protection hidden="1"/>
    </xf>
    <xf numFmtId="0" fontId="0" fillId="0" borderId="0" xfId="0" applyFont="1" applyFill="1" applyAlignment="1">
      <alignment/>
    </xf>
    <xf numFmtId="0" fontId="11" fillId="0" borderId="0" xfId="0" applyFont="1" applyFill="1" applyAlignment="1">
      <alignment/>
    </xf>
    <xf numFmtId="0" fontId="0" fillId="0" borderId="0" xfId="0" applyFont="1" applyFill="1" applyAlignment="1" applyProtection="1">
      <alignment/>
      <protection hidden="1"/>
    </xf>
    <xf numFmtId="0" fontId="0" fillId="0" borderId="0" xfId="0" applyFont="1" applyFill="1" applyAlignment="1">
      <alignment/>
    </xf>
    <xf numFmtId="0" fontId="5" fillId="0" borderId="15" xfId="0" applyFont="1" applyFill="1" applyBorder="1" applyAlignment="1" applyProtection="1">
      <alignment horizontal="center"/>
      <protection hidden="1"/>
    </xf>
    <xf numFmtId="0" fontId="5" fillId="0" borderId="15" xfId="0" applyFont="1" applyFill="1" applyBorder="1" applyAlignment="1" applyProtection="1">
      <alignment horizontal="center" vertical="center"/>
      <protection hidden="1"/>
    </xf>
    <xf numFmtId="0" fontId="5" fillId="0" borderId="0" xfId="0" applyFont="1" applyFill="1" applyBorder="1" applyAlignment="1" applyProtection="1">
      <alignment/>
      <protection hidden="1"/>
    </xf>
    <xf numFmtId="0" fontId="5" fillId="0" borderId="15" xfId="0" applyNumberFormat="1" applyFont="1" applyFill="1" applyBorder="1" applyAlignment="1" applyProtection="1">
      <alignment horizontal="center"/>
      <protection hidden="1"/>
    </xf>
    <xf numFmtId="0" fontId="0" fillId="0" borderId="0" xfId="0" applyFill="1" applyAlignment="1">
      <alignment/>
    </xf>
    <xf numFmtId="0" fontId="5" fillId="0" borderId="0" xfId="0" applyFont="1" applyFill="1" applyAlignment="1" applyProtection="1">
      <alignment/>
      <protection hidden="1"/>
    </xf>
    <xf numFmtId="0" fontId="5" fillId="0" borderId="16" xfId="0" applyFont="1" applyFill="1" applyBorder="1" applyAlignment="1" applyProtection="1">
      <alignment horizontal="center"/>
      <protection hidden="1"/>
    </xf>
    <xf numFmtId="0" fontId="5" fillId="0" borderId="14" xfId="0" applyFont="1" applyFill="1" applyBorder="1" applyAlignment="1" applyProtection="1">
      <alignment horizontal="center"/>
      <protection hidden="1"/>
    </xf>
    <xf numFmtId="0" fontId="0" fillId="0" borderId="14" xfId="0" applyFill="1" applyBorder="1" applyAlignment="1">
      <alignment horizontal="center"/>
    </xf>
    <xf numFmtId="0" fontId="0" fillId="0" borderId="0" xfId="0" applyFont="1" applyFill="1" applyAlignment="1" applyProtection="1">
      <alignment/>
      <protection hidden="1"/>
    </xf>
    <xf numFmtId="0" fontId="5" fillId="0" borderId="15" xfId="0" applyFont="1" applyFill="1" applyBorder="1" applyAlignment="1" applyProtection="1">
      <alignment horizontal="center" vertical="center"/>
      <protection hidden="1"/>
    </xf>
    <xf numFmtId="166" fontId="3" fillId="3" borderId="14" xfId="0" applyNumberFormat="1" applyFont="1" applyFill="1" applyBorder="1" applyAlignment="1" applyProtection="1">
      <alignment horizontal="center" vertical="center"/>
      <protection hidden="1"/>
    </xf>
    <xf numFmtId="1" fontId="3" fillId="3" borderId="14" xfId="0" applyNumberFormat="1" applyFont="1" applyFill="1" applyBorder="1" applyAlignment="1" applyProtection="1">
      <alignment horizontal="center" vertical="center"/>
      <protection hidden="1"/>
    </xf>
    <xf numFmtId="0" fontId="17" fillId="4" borderId="17" xfId="0" applyFont="1" applyFill="1" applyBorder="1" applyAlignment="1" applyProtection="1">
      <alignment/>
      <protection hidden="1"/>
    </xf>
    <xf numFmtId="0" fontId="12" fillId="0" borderId="0" xfId="0" applyFont="1" applyAlignment="1">
      <alignment horizontal="left"/>
    </xf>
    <xf numFmtId="0" fontId="0" fillId="0" borderId="0" xfId="0" applyAlignment="1">
      <alignment horizontal="left"/>
    </xf>
    <xf numFmtId="0" fontId="0" fillId="0" borderId="0" xfId="0" applyBorder="1" applyAlignment="1">
      <alignment horizontal="left" wrapText="1"/>
    </xf>
    <xf numFmtId="0" fontId="0" fillId="0" borderId="0" xfId="0" applyBorder="1" applyAlignment="1">
      <alignment horizontal="left"/>
    </xf>
    <xf numFmtId="0" fontId="10" fillId="0" borderId="0" xfId="0" applyFont="1" applyAlignment="1">
      <alignment/>
    </xf>
    <xf numFmtId="0" fontId="13" fillId="0" borderId="0" xfId="0" applyFont="1" applyBorder="1" applyAlignment="1">
      <alignment horizontal="left" vertical="top" wrapText="1"/>
    </xf>
    <xf numFmtId="0" fontId="0" fillId="0" borderId="0" xfId="0" applyAlignment="1">
      <alignment horizontal="left" vertical="top"/>
    </xf>
    <xf numFmtId="0" fontId="19" fillId="0" borderId="0" xfId="0" applyFont="1" applyFill="1" applyAlignment="1">
      <alignment wrapText="1"/>
    </xf>
    <xf numFmtId="0" fontId="13" fillId="0" borderId="0" xfId="0" applyFont="1" applyBorder="1" applyAlignment="1">
      <alignment/>
    </xf>
    <xf numFmtId="0" fontId="13" fillId="0" borderId="0" xfId="0" applyFont="1" applyBorder="1" applyAlignment="1">
      <alignment wrapText="1"/>
    </xf>
    <xf numFmtId="0" fontId="12" fillId="4" borderId="18" xfId="0" applyFont="1" applyFill="1" applyBorder="1" applyAlignment="1">
      <alignment/>
    </xf>
    <xf numFmtId="0" fontId="12" fillId="4" borderId="18" xfId="0" applyFont="1" applyFill="1" applyBorder="1" applyAlignment="1">
      <alignment horizontal="center"/>
    </xf>
    <xf numFmtId="0" fontId="12" fillId="4" borderId="18" xfId="0" applyFont="1" applyFill="1" applyBorder="1" applyAlignment="1">
      <alignment wrapText="1"/>
    </xf>
    <xf numFmtId="0" fontId="13" fillId="5" borderId="18" xfId="0" applyFont="1" applyFill="1" applyBorder="1" applyAlignment="1" applyProtection="1">
      <alignment horizontal="left" vertical="top"/>
      <protection hidden="1"/>
    </xf>
    <xf numFmtId="0" fontId="13" fillId="0" borderId="18" xfId="0" applyFont="1" applyBorder="1" applyAlignment="1">
      <alignment horizontal="center" vertical="center"/>
    </xf>
    <xf numFmtId="0" fontId="13" fillId="0" borderId="18" xfId="0" applyFont="1" applyBorder="1" applyAlignment="1">
      <alignment horizontal="left" vertical="top" wrapText="1"/>
    </xf>
    <xf numFmtId="0" fontId="13" fillId="0" borderId="0" xfId="0" applyFont="1" applyAlignment="1">
      <alignment wrapText="1"/>
    </xf>
    <xf numFmtId="0" fontId="13" fillId="0" borderId="0" xfId="0" applyFont="1" applyAlignment="1">
      <alignment horizontal="center"/>
    </xf>
    <xf numFmtId="0" fontId="13" fillId="0" borderId="0" xfId="0" applyFont="1" applyAlignment="1">
      <alignment/>
    </xf>
    <xf numFmtId="0" fontId="13" fillId="0" borderId="18" xfId="0" applyFont="1" applyFill="1" applyBorder="1" applyAlignment="1">
      <alignment horizontal="center" vertical="center"/>
    </xf>
    <xf numFmtId="0" fontId="12" fillId="4" borderId="18" xfId="0" applyFont="1" applyFill="1" applyBorder="1" applyAlignment="1" applyProtection="1">
      <alignment/>
      <protection hidden="1"/>
    </xf>
    <xf numFmtId="0" fontId="12" fillId="4" borderId="18" xfId="0" applyFont="1" applyFill="1" applyBorder="1" applyAlignment="1" applyProtection="1">
      <alignment horizontal="left" vertical="top"/>
      <protection hidden="1"/>
    </xf>
    <xf numFmtId="0" fontId="13" fillId="0" borderId="18" xfId="0" applyFont="1" applyFill="1" applyBorder="1" applyAlignment="1">
      <alignment horizontal="left" vertical="top" wrapText="1"/>
    </xf>
    <xf numFmtId="0" fontId="13" fillId="0" borderId="0" xfId="0" applyFont="1" applyFill="1" applyBorder="1" applyAlignment="1" applyProtection="1">
      <alignment horizontal="left" vertical="top"/>
      <protection hidden="1"/>
    </xf>
    <xf numFmtId="0" fontId="13" fillId="0" borderId="0" xfId="0" applyFont="1" applyFill="1" applyBorder="1" applyAlignment="1">
      <alignment horizontal="center" vertical="center"/>
    </xf>
    <xf numFmtId="0" fontId="13" fillId="0" borderId="0" xfId="0" applyFont="1" applyFill="1" applyBorder="1" applyAlignment="1">
      <alignment horizontal="left" vertical="top" wrapText="1"/>
    </xf>
    <xf numFmtId="164" fontId="17" fillId="6" borderId="6" xfId="0" applyNumberFormat="1" applyFont="1" applyFill="1" applyBorder="1" applyAlignment="1" applyProtection="1">
      <alignment shrinkToFit="1"/>
      <protection hidden="1"/>
    </xf>
    <xf numFmtId="0" fontId="14" fillId="0" borderId="0" xfId="0" applyFont="1" applyAlignment="1" applyProtection="1">
      <alignment/>
      <protection hidden="1"/>
    </xf>
    <xf numFmtId="0" fontId="5" fillId="0" borderId="0" xfId="0" applyFont="1" applyAlignment="1">
      <alignment/>
    </xf>
    <xf numFmtId="0" fontId="17" fillId="4" borderId="17" xfId="0" applyFont="1" applyFill="1" applyBorder="1" applyAlignment="1" applyProtection="1">
      <alignment horizontal="left"/>
      <protection hidden="1"/>
    </xf>
    <xf numFmtId="0" fontId="17" fillId="4" borderId="7" xfId="0" applyFont="1" applyFill="1" applyBorder="1" applyAlignment="1" applyProtection="1">
      <alignment horizontal="left"/>
      <protection hidden="1"/>
    </xf>
    <xf numFmtId="0" fontId="17" fillId="4" borderId="4" xfId="0" applyFont="1" applyFill="1" applyBorder="1" applyAlignment="1" applyProtection="1">
      <alignment horizontal="left"/>
      <protection hidden="1"/>
    </xf>
    <xf numFmtId="0" fontId="13" fillId="0" borderId="0"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LED Current </a:t>
            </a:r>
          </a:p>
        </c:rich>
      </c:tx>
      <c:layout>
        <c:manualLayout>
          <c:xMode val="factor"/>
          <c:yMode val="factor"/>
          <c:x val="-0.01775"/>
          <c:y val="0.008"/>
        </c:manualLayout>
      </c:layout>
      <c:spPr>
        <a:noFill/>
        <a:ln>
          <a:noFill/>
        </a:ln>
      </c:spPr>
    </c:title>
    <c:plotArea>
      <c:layout>
        <c:manualLayout>
          <c:xMode val="edge"/>
          <c:yMode val="edge"/>
          <c:x val="0.0575"/>
          <c:y val="0.124"/>
          <c:w val="0.69925"/>
          <c:h val="0.7275"/>
        </c:manualLayout>
      </c:layout>
      <c:scatterChart>
        <c:scatterStyle val="smoothMarker"/>
        <c:varyColors val="0"/>
        <c:ser>
          <c:idx val="0"/>
          <c:order val="0"/>
          <c:tx>
            <c:v>Iled</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0.055644306394533494</c:v>
                </c:pt>
                <c:pt idx="2">
                  <c:v>0.11128861278906699</c:v>
                </c:pt>
                <c:pt idx="3">
                  <c:v>0.16693291918360048</c:v>
                </c:pt>
                <c:pt idx="4">
                  <c:v>0.22257722557813397</c:v>
                </c:pt>
                <c:pt idx="5">
                  <c:v>0.27822153197266747</c:v>
                </c:pt>
                <c:pt idx="6">
                  <c:v>0.44145795103093755</c:v>
                </c:pt>
                <c:pt idx="7">
                  <c:v>0.6046943700892077</c:v>
                </c:pt>
                <c:pt idx="8">
                  <c:v>0.7679307891474778</c:v>
                </c:pt>
                <c:pt idx="9">
                  <c:v>0.9311672082057478</c:v>
                </c:pt>
                <c:pt idx="10">
                  <c:v>1.094403627264018</c:v>
                </c:pt>
                <c:pt idx="11">
                  <c:v>1.1500479336585516</c:v>
                </c:pt>
                <c:pt idx="12">
                  <c:v>1.2056922400530852</c:v>
                </c:pt>
                <c:pt idx="13">
                  <c:v>1.2613365464476185</c:v>
                </c:pt>
                <c:pt idx="14">
                  <c:v>1.316980852842152</c:v>
                </c:pt>
                <c:pt idx="15">
                  <c:v>1.3726251592366856</c:v>
                </c:pt>
                <c:pt idx="16">
                  <c:v>1.5358615782949556</c:v>
                </c:pt>
                <c:pt idx="17">
                  <c:v>1.6990979973532259</c:v>
                </c:pt>
                <c:pt idx="18">
                  <c:v>1.862334416411496</c:v>
                </c:pt>
                <c:pt idx="19">
                  <c:v>2.025570835469766</c:v>
                </c:pt>
                <c:pt idx="20">
                  <c:v>2.188807254528036</c:v>
                </c:pt>
              </c:numCache>
            </c:numRef>
          </c:xVal>
          <c:yVal>
            <c:numRef>
              <c:f>'Sheet 1'!$H$5:$H$25</c:f>
              <c:numCache>
                <c:ptCount val="21"/>
                <c:pt idx="0">
                  <c:v>275.3296474416316</c:v>
                </c:pt>
                <c:pt idx="1">
                  <c:v>301.77409129782285</c:v>
                </c:pt>
                <c:pt idx="2">
                  <c:v>328.1466243760134</c:v>
                </c:pt>
                <c:pt idx="3">
                  <c:v>354.4474422242727</c:v>
                </c:pt>
                <c:pt idx="4">
                  <c:v>380.67673985891616</c:v>
                </c:pt>
                <c:pt idx="5">
                  <c:v>406.83471176594867</c:v>
                </c:pt>
                <c:pt idx="6">
                  <c:v>380.38734191357145</c:v>
                </c:pt>
                <c:pt idx="7">
                  <c:v>354.01335388046164</c:v>
                </c:pt>
                <c:pt idx="8">
                  <c:v>327.7125440587979</c:v>
                </c:pt>
                <c:pt idx="9">
                  <c:v>301.4847094056919</c:v>
                </c:pt>
                <c:pt idx="10">
                  <c:v>275.3296474416316</c:v>
                </c:pt>
                <c:pt idx="11">
                  <c:v>301.77409129782285</c:v>
                </c:pt>
                <c:pt idx="12">
                  <c:v>328.1466243760134</c:v>
                </c:pt>
                <c:pt idx="13">
                  <c:v>354.4474422242727</c:v>
                </c:pt>
                <c:pt idx="14">
                  <c:v>380.67673985891616</c:v>
                </c:pt>
                <c:pt idx="15">
                  <c:v>406.83471176594867</c:v>
                </c:pt>
                <c:pt idx="16">
                  <c:v>380.38734191357145</c:v>
                </c:pt>
                <c:pt idx="17">
                  <c:v>354.01335388046164</c:v>
                </c:pt>
                <c:pt idx="18">
                  <c:v>327.7125440587979</c:v>
                </c:pt>
                <c:pt idx="19">
                  <c:v>301.4847094056919</c:v>
                </c:pt>
                <c:pt idx="20">
                  <c:v>275.3296474416316</c:v>
                </c:pt>
              </c:numCache>
            </c:numRef>
          </c:yVal>
          <c:smooth val="1"/>
        </c:ser>
        <c:ser>
          <c:idx val="1"/>
          <c:order val="1"/>
          <c:tx>
            <c:v>Iavg</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0.055644306394533494</c:v>
                </c:pt>
                <c:pt idx="2">
                  <c:v>0.11128861278906699</c:v>
                </c:pt>
                <c:pt idx="3">
                  <c:v>0.16693291918360048</c:v>
                </c:pt>
                <c:pt idx="4">
                  <c:v>0.22257722557813397</c:v>
                </c:pt>
                <c:pt idx="5">
                  <c:v>0.27822153197266747</c:v>
                </c:pt>
                <c:pt idx="6">
                  <c:v>0.44145795103093755</c:v>
                </c:pt>
                <c:pt idx="7">
                  <c:v>0.6046943700892077</c:v>
                </c:pt>
                <c:pt idx="8">
                  <c:v>0.7679307891474778</c:v>
                </c:pt>
                <c:pt idx="9">
                  <c:v>0.9311672082057478</c:v>
                </c:pt>
                <c:pt idx="10">
                  <c:v>1.094403627264018</c:v>
                </c:pt>
                <c:pt idx="11">
                  <c:v>1.1500479336585516</c:v>
                </c:pt>
                <c:pt idx="12">
                  <c:v>1.2056922400530852</c:v>
                </c:pt>
                <c:pt idx="13">
                  <c:v>1.2613365464476185</c:v>
                </c:pt>
                <c:pt idx="14">
                  <c:v>1.316980852842152</c:v>
                </c:pt>
                <c:pt idx="15">
                  <c:v>1.3726251592366856</c:v>
                </c:pt>
                <c:pt idx="16">
                  <c:v>1.5358615782949556</c:v>
                </c:pt>
                <c:pt idx="17">
                  <c:v>1.6990979973532259</c:v>
                </c:pt>
                <c:pt idx="18">
                  <c:v>1.862334416411496</c:v>
                </c:pt>
                <c:pt idx="19">
                  <c:v>2.025570835469766</c:v>
                </c:pt>
                <c:pt idx="20">
                  <c:v>2.188807254528036</c:v>
                </c:pt>
              </c:numCache>
            </c:numRef>
          </c:xVal>
          <c:yVal>
            <c:numRef>
              <c:f>'Sheet 1'!$I$5:$I$25</c:f>
              <c:numCache>
                <c:ptCount val="21"/>
                <c:pt idx="0">
                  <c:v>341.00657064694855</c:v>
                </c:pt>
                <c:pt idx="1">
                  <c:v>341.00657064694855</c:v>
                </c:pt>
                <c:pt idx="2">
                  <c:v>341.00657064694855</c:v>
                </c:pt>
                <c:pt idx="3">
                  <c:v>341.00657064694855</c:v>
                </c:pt>
                <c:pt idx="4">
                  <c:v>341.00657064694855</c:v>
                </c:pt>
                <c:pt idx="5">
                  <c:v>341.00657064694855</c:v>
                </c:pt>
                <c:pt idx="6">
                  <c:v>341.00657064694855</c:v>
                </c:pt>
                <c:pt idx="7">
                  <c:v>341.00657064694855</c:v>
                </c:pt>
                <c:pt idx="8">
                  <c:v>341.00657064694855</c:v>
                </c:pt>
                <c:pt idx="9">
                  <c:v>341.00657064694855</c:v>
                </c:pt>
                <c:pt idx="10">
                  <c:v>341.00657064694855</c:v>
                </c:pt>
                <c:pt idx="11">
                  <c:v>341.00657064694855</c:v>
                </c:pt>
                <c:pt idx="12">
                  <c:v>341.00657064694855</c:v>
                </c:pt>
                <c:pt idx="13">
                  <c:v>341.00657064694855</c:v>
                </c:pt>
                <c:pt idx="14">
                  <c:v>341.00657064694855</c:v>
                </c:pt>
                <c:pt idx="15">
                  <c:v>341.00657064694855</c:v>
                </c:pt>
                <c:pt idx="16">
                  <c:v>341.00657064694855</c:v>
                </c:pt>
                <c:pt idx="17">
                  <c:v>341.00657064694855</c:v>
                </c:pt>
                <c:pt idx="18">
                  <c:v>341.00657064694855</c:v>
                </c:pt>
                <c:pt idx="19">
                  <c:v>341.00657064694855</c:v>
                </c:pt>
                <c:pt idx="20">
                  <c:v>341.00657064694855</c:v>
                </c:pt>
              </c:numCache>
            </c:numRef>
          </c:yVal>
          <c:smooth val="1"/>
        </c:ser>
        <c:ser>
          <c:idx val="2"/>
          <c:order val="2"/>
          <c:tx>
            <c:v>Imax</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0.055644306394533494</c:v>
                </c:pt>
                <c:pt idx="2">
                  <c:v>0.11128861278906699</c:v>
                </c:pt>
                <c:pt idx="3">
                  <c:v>0.16693291918360048</c:v>
                </c:pt>
                <c:pt idx="4">
                  <c:v>0.22257722557813397</c:v>
                </c:pt>
                <c:pt idx="5">
                  <c:v>0.27822153197266747</c:v>
                </c:pt>
                <c:pt idx="6">
                  <c:v>0.44145795103093755</c:v>
                </c:pt>
                <c:pt idx="7">
                  <c:v>0.6046943700892077</c:v>
                </c:pt>
                <c:pt idx="8">
                  <c:v>0.7679307891474778</c:v>
                </c:pt>
                <c:pt idx="9">
                  <c:v>0.9311672082057478</c:v>
                </c:pt>
                <c:pt idx="10">
                  <c:v>1.094403627264018</c:v>
                </c:pt>
                <c:pt idx="11">
                  <c:v>1.1500479336585516</c:v>
                </c:pt>
                <c:pt idx="12">
                  <c:v>1.2056922400530852</c:v>
                </c:pt>
                <c:pt idx="13">
                  <c:v>1.2613365464476185</c:v>
                </c:pt>
                <c:pt idx="14">
                  <c:v>1.316980852842152</c:v>
                </c:pt>
                <c:pt idx="15">
                  <c:v>1.3726251592366856</c:v>
                </c:pt>
                <c:pt idx="16">
                  <c:v>1.5358615782949556</c:v>
                </c:pt>
                <c:pt idx="17">
                  <c:v>1.6990979973532259</c:v>
                </c:pt>
                <c:pt idx="18">
                  <c:v>1.862334416411496</c:v>
                </c:pt>
                <c:pt idx="19">
                  <c:v>2.025570835469766</c:v>
                </c:pt>
                <c:pt idx="20">
                  <c:v>2.188807254528036</c:v>
                </c:pt>
              </c:numCache>
            </c:numRef>
          </c:xVal>
          <c:yVal>
            <c:numRef>
              <c:f>'Sheet 1'!$K$5:$K$25</c:f>
              <c:numCache>
                <c:ptCount val="21"/>
                <c:pt idx="0">
                  <c:v>383.33333333333337</c:v>
                </c:pt>
                <c:pt idx="1">
                  <c:v>383.33333333333337</c:v>
                </c:pt>
                <c:pt idx="2">
                  <c:v>383.33333333333337</c:v>
                </c:pt>
                <c:pt idx="3">
                  <c:v>383.33333333333337</c:v>
                </c:pt>
                <c:pt idx="4">
                  <c:v>383.33333333333337</c:v>
                </c:pt>
                <c:pt idx="5">
                  <c:v>383.33333333333337</c:v>
                </c:pt>
                <c:pt idx="6">
                  <c:v>383.33333333333337</c:v>
                </c:pt>
                <c:pt idx="7">
                  <c:v>383.33333333333337</c:v>
                </c:pt>
                <c:pt idx="8">
                  <c:v>383.33333333333337</c:v>
                </c:pt>
                <c:pt idx="9">
                  <c:v>383.33333333333337</c:v>
                </c:pt>
                <c:pt idx="10">
                  <c:v>383.33333333333337</c:v>
                </c:pt>
                <c:pt idx="11">
                  <c:v>383.33333333333337</c:v>
                </c:pt>
                <c:pt idx="12">
                  <c:v>383.33333333333337</c:v>
                </c:pt>
                <c:pt idx="13">
                  <c:v>383.33333333333337</c:v>
                </c:pt>
                <c:pt idx="14">
                  <c:v>383.33333333333337</c:v>
                </c:pt>
                <c:pt idx="15">
                  <c:v>383.33333333333337</c:v>
                </c:pt>
                <c:pt idx="16">
                  <c:v>383.33333333333337</c:v>
                </c:pt>
                <c:pt idx="17">
                  <c:v>383.33333333333337</c:v>
                </c:pt>
                <c:pt idx="18">
                  <c:v>383.33333333333337</c:v>
                </c:pt>
                <c:pt idx="19">
                  <c:v>383.33333333333337</c:v>
                </c:pt>
                <c:pt idx="20">
                  <c:v>383.33333333333337</c:v>
                </c:pt>
              </c:numCache>
            </c:numRef>
          </c:yVal>
          <c:smooth val="1"/>
        </c:ser>
        <c:ser>
          <c:idx val="3"/>
          <c:order val="3"/>
          <c:tx>
            <c:v>Imin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0.055644306394533494</c:v>
                </c:pt>
                <c:pt idx="2">
                  <c:v>0.11128861278906699</c:v>
                </c:pt>
                <c:pt idx="3">
                  <c:v>0.16693291918360048</c:v>
                </c:pt>
                <c:pt idx="4">
                  <c:v>0.22257722557813397</c:v>
                </c:pt>
                <c:pt idx="5">
                  <c:v>0.27822153197266747</c:v>
                </c:pt>
                <c:pt idx="6">
                  <c:v>0.44145795103093755</c:v>
                </c:pt>
                <c:pt idx="7">
                  <c:v>0.6046943700892077</c:v>
                </c:pt>
                <c:pt idx="8">
                  <c:v>0.7679307891474778</c:v>
                </c:pt>
                <c:pt idx="9">
                  <c:v>0.9311672082057478</c:v>
                </c:pt>
                <c:pt idx="10">
                  <c:v>1.094403627264018</c:v>
                </c:pt>
                <c:pt idx="11">
                  <c:v>1.1500479336585516</c:v>
                </c:pt>
                <c:pt idx="12">
                  <c:v>1.2056922400530852</c:v>
                </c:pt>
                <c:pt idx="13">
                  <c:v>1.2613365464476185</c:v>
                </c:pt>
                <c:pt idx="14">
                  <c:v>1.316980852842152</c:v>
                </c:pt>
                <c:pt idx="15">
                  <c:v>1.3726251592366856</c:v>
                </c:pt>
                <c:pt idx="16">
                  <c:v>1.5358615782949556</c:v>
                </c:pt>
                <c:pt idx="17">
                  <c:v>1.6990979973532259</c:v>
                </c:pt>
                <c:pt idx="18">
                  <c:v>1.862334416411496</c:v>
                </c:pt>
                <c:pt idx="19">
                  <c:v>2.025570835469766</c:v>
                </c:pt>
                <c:pt idx="20">
                  <c:v>2.188807254528036</c:v>
                </c:pt>
              </c:numCache>
            </c:numRef>
          </c:xVal>
          <c:yVal>
            <c:numRef>
              <c:f>'Sheet 1'!$J$5:$J$25</c:f>
              <c:numCache>
                <c:ptCount val="21"/>
                <c:pt idx="0">
                  <c:v>283.33333333333337</c:v>
                </c:pt>
                <c:pt idx="1">
                  <c:v>283.33333333333337</c:v>
                </c:pt>
                <c:pt idx="2">
                  <c:v>283.33333333333337</c:v>
                </c:pt>
                <c:pt idx="3">
                  <c:v>283.33333333333337</c:v>
                </c:pt>
                <c:pt idx="4">
                  <c:v>283.33333333333337</c:v>
                </c:pt>
                <c:pt idx="5">
                  <c:v>283.33333333333337</c:v>
                </c:pt>
                <c:pt idx="6">
                  <c:v>283.33333333333337</c:v>
                </c:pt>
                <c:pt idx="7">
                  <c:v>283.33333333333337</c:v>
                </c:pt>
                <c:pt idx="8">
                  <c:v>283.33333333333337</c:v>
                </c:pt>
                <c:pt idx="9">
                  <c:v>283.33333333333337</c:v>
                </c:pt>
                <c:pt idx="10">
                  <c:v>283.33333333333337</c:v>
                </c:pt>
                <c:pt idx="11">
                  <c:v>283.33333333333337</c:v>
                </c:pt>
                <c:pt idx="12">
                  <c:v>283.33333333333337</c:v>
                </c:pt>
                <c:pt idx="13">
                  <c:v>283.33333333333337</c:v>
                </c:pt>
                <c:pt idx="14">
                  <c:v>283.33333333333337</c:v>
                </c:pt>
                <c:pt idx="15">
                  <c:v>283.33333333333337</c:v>
                </c:pt>
                <c:pt idx="16">
                  <c:v>283.33333333333337</c:v>
                </c:pt>
                <c:pt idx="17">
                  <c:v>283.33333333333337</c:v>
                </c:pt>
                <c:pt idx="18">
                  <c:v>283.33333333333337</c:v>
                </c:pt>
                <c:pt idx="19">
                  <c:v>283.33333333333337</c:v>
                </c:pt>
                <c:pt idx="20">
                  <c:v>283.33333333333337</c:v>
                </c:pt>
              </c:numCache>
            </c:numRef>
          </c:yVal>
          <c:smooth val="1"/>
        </c:ser>
        <c:axId val="61435724"/>
        <c:axId val="16050605"/>
      </c:scatterChart>
      <c:valAx>
        <c:axId val="61435724"/>
        <c:scaling>
          <c:orientation val="minMax"/>
        </c:scaling>
        <c:axPos val="b"/>
        <c:title>
          <c:tx>
            <c:rich>
              <a:bodyPr vert="horz" rot="0" anchor="ctr"/>
              <a:lstStyle/>
              <a:p>
                <a:pPr algn="ctr">
                  <a:defRPr/>
                </a:pPr>
                <a:r>
                  <a:rPr lang="en-US" cap="none" sz="900" b="1" i="0" u="none" baseline="0">
                    <a:latin typeface="Arial"/>
                    <a:ea typeface="Arial"/>
                    <a:cs typeface="Arial"/>
                  </a:rPr>
                  <a:t>Time (us)</a:t>
                </a:r>
              </a:p>
            </c:rich>
          </c:tx>
          <c:layout/>
          <c:overlay val="0"/>
          <c:spPr>
            <a:noFill/>
            <a:ln>
              <a:noFill/>
            </a:ln>
          </c:spPr>
        </c:title>
        <c:majorGridlines/>
        <c:delete val="0"/>
        <c:numFmt formatCode="0.0" sourceLinked="0"/>
        <c:majorTickMark val="out"/>
        <c:minorTickMark val="none"/>
        <c:tickLblPos val="nextTo"/>
        <c:crossAx val="16050605"/>
        <c:crosses val="autoZero"/>
        <c:crossBetween val="midCat"/>
        <c:dispUnits/>
      </c:valAx>
      <c:valAx>
        <c:axId val="16050605"/>
        <c:scaling>
          <c:orientation val="minMax"/>
        </c:scaling>
        <c:axPos val="l"/>
        <c:title>
          <c:tx>
            <c:rich>
              <a:bodyPr vert="horz" rot="-5400000" anchor="ctr"/>
              <a:lstStyle/>
              <a:p>
                <a:pPr algn="ctr">
                  <a:defRPr/>
                </a:pPr>
                <a:r>
                  <a:rPr lang="en-US" cap="none" sz="900" b="1" i="0" u="none" baseline="0">
                    <a:latin typeface="Arial"/>
                    <a:ea typeface="Arial"/>
                    <a:cs typeface="Arial"/>
                  </a:rPr>
                  <a:t>Iout (mA)</a:t>
                </a:r>
              </a:p>
            </c:rich>
          </c:tx>
          <c:layout/>
          <c:overlay val="0"/>
          <c:spPr>
            <a:noFill/>
            <a:ln>
              <a:noFill/>
            </a:ln>
          </c:spPr>
        </c:title>
        <c:majorGridlines/>
        <c:delete val="0"/>
        <c:numFmt formatCode="0" sourceLinked="0"/>
        <c:majorTickMark val="out"/>
        <c:minorTickMark val="none"/>
        <c:tickLblPos val="nextTo"/>
        <c:crossAx val="61435724"/>
        <c:crosses val="autoZero"/>
        <c:crossBetween val="midCat"/>
        <c:dispUnits/>
      </c:valAx>
      <c:spPr>
        <a:noFill/>
        <a:ln w="12700">
          <a:solidFill>
            <a:srgbClr val="808080"/>
          </a:solidFill>
        </a:ln>
      </c:spPr>
    </c:plotArea>
    <c:legend>
      <c:legendPos val="r"/>
      <c:layout>
        <c:manualLayout>
          <c:xMode val="edge"/>
          <c:yMode val="edge"/>
          <c:x val="0.74275"/>
          <c:y val="0.1905"/>
          <c:w val="0.21425"/>
          <c:h val="0.362"/>
        </c:manualLayout>
      </c:layout>
      <c:overlay val="0"/>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19</xdr:row>
      <xdr:rowOff>114300</xdr:rowOff>
    </xdr:from>
    <xdr:to>
      <xdr:col>20</xdr:col>
      <xdr:colOff>114300</xdr:colOff>
      <xdr:row>32</xdr:row>
      <xdr:rowOff>57150</xdr:rowOff>
    </xdr:to>
    <xdr:graphicFrame>
      <xdr:nvGraphicFramePr>
        <xdr:cNvPr id="1" name="Chart 43"/>
        <xdr:cNvGraphicFramePr/>
      </xdr:nvGraphicFramePr>
      <xdr:xfrm>
        <a:off x="6543675" y="3419475"/>
        <a:ext cx="2752725" cy="20859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38100</xdr:colOff>
      <xdr:row>0</xdr:row>
      <xdr:rowOff>47625</xdr:rowOff>
    </xdr:from>
    <xdr:to>
      <xdr:col>1</xdr:col>
      <xdr:colOff>1533525</xdr:colOff>
      <xdr:row>3</xdr:row>
      <xdr:rowOff>66675</xdr:rowOff>
    </xdr:to>
    <xdr:pic>
      <xdr:nvPicPr>
        <xdr:cNvPr id="2" name="Picture 95"/>
        <xdr:cNvPicPr preferRelativeResize="1">
          <a:picLocks noChangeAspect="1"/>
        </xdr:cNvPicPr>
      </xdr:nvPicPr>
      <xdr:blipFill>
        <a:blip r:embed="rId2"/>
        <a:stretch>
          <a:fillRect/>
        </a:stretch>
      </xdr:blipFill>
      <xdr:spPr>
        <a:xfrm>
          <a:off x="38100" y="47625"/>
          <a:ext cx="153352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45"/>
  <sheetViews>
    <sheetView showGridLines="0" showRowColHeaders="0" tabSelected="1" workbookViewId="0" topLeftCell="A1">
      <selection activeCell="C3" sqref="C3"/>
    </sheetView>
  </sheetViews>
  <sheetFormatPr defaultColWidth="9.140625" defaultRowHeight="12.75"/>
  <cols>
    <col min="1" max="1" width="0.5625" style="0" customWidth="1"/>
    <col min="2" max="2" width="23.28125" style="0" customWidth="1"/>
    <col min="3" max="3" width="5.00390625" style="0" customWidth="1"/>
    <col min="4" max="4" width="4.28125" style="0" customWidth="1"/>
    <col min="5" max="5" width="18.8515625" style="0" customWidth="1"/>
    <col min="6" max="6" width="20.57421875" style="0" customWidth="1"/>
    <col min="7" max="7" width="5.7109375" style="0" customWidth="1"/>
    <col min="8" max="8" width="3.8515625" style="0" customWidth="1"/>
    <col min="9" max="9" width="13.7109375" style="0" customWidth="1"/>
    <col min="10" max="10" width="1.57421875" style="0" customWidth="1"/>
    <col min="11" max="11" width="0.71875" style="0" customWidth="1"/>
    <col min="12" max="12" width="0.85546875" style="0" customWidth="1"/>
    <col min="13" max="13" width="6.00390625" style="0" customWidth="1"/>
    <col min="14" max="14" width="2.57421875" style="0" customWidth="1"/>
    <col min="15" max="15" width="5.7109375" style="0" customWidth="1"/>
    <col min="16" max="16" width="3.28125" style="0" customWidth="1"/>
    <col min="17" max="17" width="6.28125" style="0" customWidth="1"/>
    <col min="18" max="18" width="0.71875" style="0" customWidth="1"/>
    <col min="19" max="19" width="4.140625" style="0" customWidth="1"/>
    <col min="20" max="20" width="10.00390625" style="0" customWidth="1"/>
    <col min="21" max="21" width="6.140625" style="0" customWidth="1"/>
    <col min="22" max="22" width="12.421875" style="0" bestFit="1" customWidth="1"/>
    <col min="25" max="25" width="10.00390625" style="0" bestFit="1" customWidth="1"/>
    <col min="26" max="26" width="12.421875" style="0" bestFit="1" customWidth="1"/>
    <col min="28" max="28" width="13.28125" style="0" customWidth="1"/>
    <col min="29" max="29" width="12.140625" style="0" customWidth="1"/>
  </cols>
  <sheetData>
    <row r="1" spans="1:22" ht="12.75">
      <c r="A1" s="17"/>
      <c r="F1" s="18"/>
      <c r="G1" s="18"/>
      <c r="H1" s="18"/>
      <c r="I1" s="18"/>
      <c r="J1" s="18"/>
      <c r="K1" s="19"/>
      <c r="L1" s="19"/>
      <c r="M1" s="19"/>
      <c r="N1" s="19"/>
      <c r="O1" s="19"/>
      <c r="P1" s="19"/>
      <c r="Q1" s="19"/>
      <c r="R1" s="19"/>
      <c r="S1" s="19"/>
      <c r="T1" s="19"/>
      <c r="U1" s="19"/>
      <c r="V1" s="19"/>
    </row>
    <row r="2" spans="1:22" ht="12.75">
      <c r="A2" s="18"/>
      <c r="B2" s="18"/>
      <c r="C2" s="20"/>
      <c r="D2" s="18"/>
      <c r="F2" s="18"/>
      <c r="G2" s="18"/>
      <c r="H2" s="18"/>
      <c r="I2" s="18"/>
      <c r="J2" s="21"/>
      <c r="K2" s="19"/>
      <c r="L2" s="19"/>
      <c r="M2" s="19"/>
      <c r="N2" s="19"/>
      <c r="O2" s="19"/>
      <c r="P2" s="19"/>
      <c r="Q2" s="19"/>
      <c r="R2" s="19"/>
      <c r="S2" s="19"/>
      <c r="T2" s="19"/>
      <c r="U2" s="19"/>
      <c r="V2" s="19"/>
    </row>
    <row r="3" spans="1:22" ht="20.25">
      <c r="A3" s="18"/>
      <c r="B3" s="18"/>
      <c r="C3" s="20"/>
      <c r="D3" s="18"/>
      <c r="E3" s="33" t="s">
        <v>139</v>
      </c>
      <c r="F3" s="18"/>
      <c r="G3" s="18"/>
      <c r="H3" s="18"/>
      <c r="I3" s="18"/>
      <c r="J3" s="21"/>
      <c r="K3" s="19"/>
      <c r="L3" s="19"/>
      <c r="M3" s="19"/>
      <c r="N3" s="19"/>
      <c r="O3" s="19"/>
      <c r="P3" s="19"/>
      <c r="Q3" s="19"/>
      <c r="R3" s="19"/>
      <c r="S3" s="19"/>
      <c r="T3" s="19"/>
      <c r="U3" s="19"/>
      <c r="V3" s="19"/>
    </row>
    <row r="4" spans="1:22" ht="12.75">
      <c r="A4" s="18"/>
      <c r="B4" s="18"/>
      <c r="C4" s="20"/>
      <c r="D4" s="18"/>
      <c r="F4" s="18"/>
      <c r="G4" s="18"/>
      <c r="H4" s="18"/>
      <c r="I4" s="18"/>
      <c r="J4" s="21"/>
      <c r="K4" s="19"/>
      <c r="L4" s="19"/>
      <c r="M4" s="19"/>
      <c r="N4" s="19"/>
      <c r="O4" s="19"/>
      <c r="P4" s="19"/>
      <c r="Q4" s="19"/>
      <c r="R4" s="19"/>
      <c r="S4" s="19"/>
      <c r="T4" s="19"/>
      <c r="U4" s="19"/>
      <c r="V4" s="19"/>
    </row>
    <row r="5" spans="1:22" ht="12.75">
      <c r="A5" s="18"/>
      <c r="B5" s="18"/>
      <c r="C5" s="20"/>
      <c r="D5" s="18"/>
      <c r="E5" s="18"/>
      <c r="F5" s="18"/>
      <c r="G5" s="18"/>
      <c r="H5" s="18"/>
      <c r="I5" s="18"/>
      <c r="J5" s="21"/>
      <c r="K5" s="19"/>
      <c r="L5" s="19"/>
      <c r="M5" s="19"/>
      <c r="N5" s="19"/>
      <c r="O5" s="19"/>
      <c r="P5" s="19"/>
      <c r="Q5" s="19"/>
      <c r="R5" s="19"/>
      <c r="S5" s="19"/>
      <c r="T5" s="19"/>
      <c r="U5" s="19"/>
      <c r="V5" s="19"/>
    </row>
    <row r="6" spans="1:22" ht="18">
      <c r="A6" s="18"/>
      <c r="B6" s="61" t="s">
        <v>82</v>
      </c>
      <c r="C6" s="62"/>
      <c r="D6" s="61"/>
      <c r="E6" s="61"/>
      <c r="F6" s="61" t="s">
        <v>101</v>
      </c>
      <c r="G6" s="18"/>
      <c r="H6" s="18"/>
      <c r="I6" s="18"/>
      <c r="J6" s="21"/>
      <c r="K6" s="19"/>
      <c r="L6" s="61" t="s">
        <v>102</v>
      </c>
      <c r="M6" s="19"/>
      <c r="N6" s="19"/>
      <c r="O6" s="19"/>
      <c r="P6" s="19"/>
      <c r="Q6" s="19"/>
      <c r="R6" s="19"/>
      <c r="S6" s="19"/>
      <c r="T6" s="19"/>
      <c r="U6" s="19"/>
      <c r="V6" s="19"/>
    </row>
    <row r="7" spans="1:22" ht="13.5" thickBot="1">
      <c r="A7" s="18"/>
      <c r="B7" s="23"/>
      <c r="C7" s="30"/>
      <c r="D7" s="23"/>
      <c r="E7" s="23"/>
      <c r="F7" s="19"/>
      <c r="G7" s="19"/>
      <c r="H7" s="19"/>
      <c r="I7" s="22"/>
      <c r="K7" s="19"/>
      <c r="L7" s="19"/>
      <c r="M7" s="19"/>
      <c r="N7" s="19"/>
      <c r="O7" s="19"/>
      <c r="P7" s="19"/>
      <c r="Q7" s="19"/>
      <c r="R7" s="19"/>
      <c r="S7" s="19"/>
      <c r="T7" s="19"/>
      <c r="U7" s="19"/>
      <c r="V7" s="19"/>
    </row>
    <row r="8" spans="1:22" ht="13.5" thickBot="1">
      <c r="A8" s="18"/>
      <c r="B8" s="149" t="s">
        <v>83</v>
      </c>
      <c r="C8" s="150"/>
      <c r="D8" s="151"/>
      <c r="E8" s="46"/>
      <c r="F8" s="119" t="s">
        <v>20</v>
      </c>
      <c r="G8" s="67"/>
      <c r="H8" s="68"/>
      <c r="I8" s="41"/>
      <c r="J8" s="40"/>
      <c r="M8" s="98" t="s">
        <v>23</v>
      </c>
      <c r="N8" s="99"/>
      <c r="O8" s="100" t="s">
        <v>40</v>
      </c>
      <c r="P8" s="99"/>
      <c r="Q8" s="100" t="s">
        <v>41</v>
      </c>
      <c r="R8" s="101"/>
      <c r="S8" s="102"/>
      <c r="T8" s="34"/>
      <c r="U8" s="34"/>
      <c r="V8" s="34"/>
    </row>
    <row r="9" spans="1:22" ht="12.75">
      <c r="A9" s="25"/>
      <c r="B9" s="64" t="s">
        <v>84</v>
      </c>
      <c r="C9" s="76">
        <v>30</v>
      </c>
      <c r="D9" s="50" t="s">
        <v>0</v>
      </c>
      <c r="E9" s="47"/>
      <c r="F9" s="73" t="s">
        <v>9</v>
      </c>
      <c r="G9" s="88">
        <f>'Sheet 1'!A1</f>
        <v>0.27822153197266747</v>
      </c>
      <c r="H9" s="89" t="s">
        <v>36</v>
      </c>
      <c r="I9" s="51">
        <f>IF('Sheet 1'!A1&lt;0.2,"Turn on time too low!","")</f>
      </c>
      <c r="J9" s="46"/>
      <c r="M9" s="86">
        <f>C9</f>
        <v>30</v>
      </c>
      <c r="N9" s="103"/>
      <c r="O9" s="117">
        <f>C13</f>
        <v>0.3</v>
      </c>
      <c r="P9" s="103"/>
      <c r="Q9" s="118">
        <f>C14</f>
        <v>47</v>
      </c>
      <c r="R9" s="104"/>
      <c r="S9" s="105"/>
      <c r="T9" s="35"/>
      <c r="U9" s="35"/>
      <c r="V9" s="35"/>
    </row>
    <row r="10" spans="1:22" ht="12.75">
      <c r="A10" s="36"/>
      <c r="B10" s="64" t="s">
        <v>8</v>
      </c>
      <c r="C10" s="84">
        <v>2</v>
      </c>
      <c r="D10" s="48"/>
      <c r="E10" s="47">
        <f>IF(C11*C10&gt;(C9-1.2),"Too many LEDs for Vin!","")</f>
      </c>
      <c r="F10" s="64" t="s">
        <v>10</v>
      </c>
      <c r="G10" s="90">
        <f>'Sheet 1'!A2</f>
        <v>0.8161820952913507</v>
      </c>
      <c r="H10" s="80" t="s">
        <v>36</v>
      </c>
      <c r="I10" s="51">
        <f>IF('Sheet 1'!A2&lt;0.2,"Turn off time too low!","")</f>
      </c>
      <c r="J10" s="46"/>
      <c r="M10" s="106" t="s">
        <v>0</v>
      </c>
      <c r="N10" s="99"/>
      <c r="O10" s="107" t="s">
        <v>1</v>
      </c>
      <c r="P10" s="108"/>
      <c r="Q10" s="109" t="s">
        <v>37</v>
      </c>
      <c r="R10" s="101"/>
      <c r="S10" s="110"/>
      <c r="V10" s="23"/>
    </row>
    <row r="11" spans="1:22" ht="12.75">
      <c r="A11" s="25"/>
      <c r="B11" s="64" t="s">
        <v>85</v>
      </c>
      <c r="C11" s="76">
        <v>3.5</v>
      </c>
      <c r="D11" s="50" t="s">
        <v>0</v>
      </c>
      <c r="E11" s="49">
        <f>IF(C11*C10&gt;(C9-1.2),"Total LED voltage too high!","")</f>
      </c>
      <c r="F11" s="64" t="s">
        <v>92</v>
      </c>
      <c r="G11" s="91">
        <f>'Sheet 1'!A3</f>
        <v>0.25422204846690283</v>
      </c>
      <c r="H11" s="79"/>
      <c r="I11" s="51">
        <f>IF('Sheet 1'!A3&lt;0.15,"Duty cycle too low!",IF('Sheet 1'!A3&gt;0.95,"Duty cycle too high!",""))</f>
      </c>
      <c r="J11" s="46"/>
      <c r="K11" s="40"/>
      <c r="L11" s="43"/>
      <c r="M11" s="110"/>
      <c r="N11" s="110"/>
      <c r="O11" s="43"/>
      <c r="P11" s="111"/>
      <c r="Q11" s="101"/>
      <c r="R11" s="101"/>
      <c r="S11" s="110"/>
      <c r="V11" s="26"/>
    </row>
    <row r="12" spans="1:22" ht="13.5" thickBot="1">
      <c r="A12" s="27"/>
      <c r="B12" s="64" t="s">
        <v>2</v>
      </c>
      <c r="C12" s="77">
        <v>0.3</v>
      </c>
      <c r="D12" s="50" t="s">
        <v>0</v>
      </c>
      <c r="E12" s="51"/>
      <c r="F12" s="65" t="s">
        <v>93</v>
      </c>
      <c r="G12" s="81">
        <f>'Sheet 1'!A4</f>
        <v>913.7396615725546</v>
      </c>
      <c r="H12" s="92" t="s">
        <v>3</v>
      </c>
      <c r="I12" s="51">
        <f>IF('Sheet 1'!A4&gt;1000,"Above recommended max!","")</f>
      </c>
      <c r="J12" s="46"/>
      <c r="K12" s="40"/>
      <c r="L12" s="43"/>
      <c r="M12" s="43"/>
      <c r="N12" s="43"/>
      <c r="O12" s="43"/>
      <c r="P12" s="111"/>
      <c r="Q12" s="101"/>
      <c r="R12" s="101"/>
      <c r="T12" s="112" t="s">
        <v>24</v>
      </c>
      <c r="V12" s="26"/>
    </row>
    <row r="13" spans="1:22" ht="13.5" thickBot="1">
      <c r="A13" s="27"/>
      <c r="B13" s="64" t="s">
        <v>75</v>
      </c>
      <c r="C13" s="85">
        <v>0.3</v>
      </c>
      <c r="D13" s="48" t="s">
        <v>1</v>
      </c>
      <c r="E13" s="51"/>
      <c r="F13" s="119" t="s">
        <v>94</v>
      </c>
      <c r="G13" s="69"/>
      <c r="H13" s="63"/>
      <c r="I13" s="51"/>
      <c r="J13" s="46"/>
      <c r="K13" s="40"/>
      <c r="L13" s="43"/>
      <c r="M13" s="43"/>
      <c r="N13" s="43"/>
      <c r="O13" s="43"/>
      <c r="P13" s="110"/>
      <c r="Q13" s="101"/>
      <c r="R13" s="101"/>
      <c r="T13" s="113" t="s">
        <v>39</v>
      </c>
      <c r="V13" s="26"/>
    </row>
    <row r="14" spans="1:22" ht="12.75">
      <c r="A14" s="27"/>
      <c r="B14" s="64" t="s">
        <v>86</v>
      </c>
      <c r="C14" s="76">
        <v>47</v>
      </c>
      <c r="D14" s="48" t="s">
        <v>37</v>
      </c>
      <c r="E14" s="51">
        <f>IF(C14&lt;33,"L too small!",IF(C14&gt;1000,"L too large!",""))</f>
      </c>
      <c r="F14" s="73" t="s">
        <v>69</v>
      </c>
      <c r="G14" s="93">
        <f>'Sheet 1'!A5</f>
        <v>406.83471176594867</v>
      </c>
      <c r="H14" s="89" t="s">
        <v>4</v>
      </c>
      <c r="I14" s="51"/>
      <c r="J14" s="46"/>
      <c r="K14" s="40"/>
      <c r="L14" s="43"/>
      <c r="M14" s="43"/>
      <c r="N14" s="43"/>
      <c r="O14" s="43"/>
      <c r="P14" s="110"/>
      <c r="Q14" s="101"/>
      <c r="R14" s="101"/>
      <c r="T14" s="87">
        <f>C10</f>
        <v>2</v>
      </c>
      <c r="V14" s="26"/>
    </row>
    <row r="15" spans="1:22" ht="13.5" thickBot="1">
      <c r="A15" s="27"/>
      <c r="B15" s="65" t="s">
        <v>87</v>
      </c>
      <c r="C15" s="78">
        <v>0.5</v>
      </c>
      <c r="D15" s="56" t="s">
        <v>1</v>
      </c>
      <c r="E15" s="51">
        <f>IF(C15&gt;10,"Coil resistance too high!","")</f>
      </c>
      <c r="F15" s="64" t="s">
        <v>61</v>
      </c>
      <c r="G15" s="91">
        <f>'Sheet 1'!A6</f>
        <v>275.3296474416316</v>
      </c>
      <c r="H15" s="80" t="s">
        <v>4</v>
      </c>
      <c r="I15" s="41"/>
      <c r="J15" s="40"/>
      <c r="K15" s="40"/>
      <c r="L15" s="43"/>
      <c r="M15" s="43"/>
      <c r="N15" s="43"/>
      <c r="O15" s="43"/>
      <c r="P15" s="110"/>
      <c r="Q15" s="101"/>
      <c r="R15" s="101"/>
      <c r="T15" s="111"/>
      <c r="V15" s="26"/>
    </row>
    <row r="16" spans="1:22" ht="12.75">
      <c r="A16" s="27"/>
      <c r="B16" s="52"/>
      <c r="C16" s="53"/>
      <c r="D16" s="52"/>
      <c r="E16" s="51"/>
      <c r="F16" s="64" t="s">
        <v>95</v>
      </c>
      <c r="G16" s="91">
        <f>'Sheet 1'!A7</f>
        <v>131.50506432431706</v>
      </c>
      <c r="H16" s="80" t="s">
        <v>4</v>
      </c>
      <c r="I16" s="41"/>
      <c r="J16" s="40"/>
      <c r="K16" s="40"/>
      <c r="L16" s="43"/>
      <c r="M16" s="43"/>
      <c r="N16" s="43"/>
      <c r="O16" s="43"/>
      <c r="P16" s="110"/>
      <c r="Q16" s="101"/>
      <c r="R16" s="101"/>
      <c r="T16" s="112" t="s">
        <v>137</v>
      </c>
      <c r="V16" s="26"/>
    </row>
    <row r="17" spans="1:22" ht="13.5" thickBot="1">
      <c r="A17" s="27"/>
      <c r="B17" s="54"/>
      <c r="C17" s="55"/>
      <c r="D17" s="54"/>
      <c r="E17" s="51"/>
      <c r="F17" s="65" t="s">
        <v>70</v>
      </c>
      <c r="G17" s="81">
        <f>'Sheet 1'!A8</f>
        <v>341.00657064694855</v>
      </c>
      <c r="H17" s="82" t="s">
        <v>4</v>
      </c>
      <c r="I17" s="41">
        <f>IF('Sheet 1'!A8&gt;370,"Avg current too high!","")</f>
      </c>
      <c r="J17" s="40"/>
      <c r="K17" s="40"/>
      <c r="L17" s="43"/>
      <c r="M17" s="43"/>
      <c r="N17" s="43"/>
      <c r="O17" s="43"/>
      <c r="P17" s="110"/>
      <c r="Q17" s="101"/>
      <c r="R17" s="101"/>
      <c r="T17" s="114" t="s">
        <v>138</v>
      </c>
      <c r="V17" s="29"/>
    </row>
    <row r="18" spans="1:22" ht="13.5" thickBot="1">
      <c r="A18" s="27"/>
      <c r="B18" s="119" t="s">
        <v>103</v>
      </c>
      <c r="C18" s="66"/>
      <c r="D18" s="63"/>
      <c r="E18" s="47"/>
      <c r="F18" s="119" t="s">
        <v>22</v>
      </c>
      <c r="G18" s="69"/>
      <c r="H18" s="63"/>
      <c r="I18" s="41"/>
      <c r="J18" s="40"/>
      <c r="K18" s="40"/>
      <c r="L18" s="43"/>
      <c r="M18" s="43"/>
      <c r="N18" s="43"/>
      <c r="O18" s="43"/>
      <c r="P18" s="110"/>
      <c r="Q18" s="115"/>
      <c r="R18" s="115"/>
      <c r="T18" s="83">
        <f>'Sheet 1'!A8</f>
        <v>341.00657064694855</v>
      </c>
      <c r="V18" s="29"/>
    </row>
    <row r="19" spans="1:22" ht="12.75">
      <c r="A19" s="27"/>
      <c r="B19" s="70" t="s">
        <v>27</v>
      </c>
      <c r="C19" s="57">
        <v>25</v>
      </c>
      <c r="D19" s="74" t="s">
        <v>38</v>
      </c>
      <c r="E19" s="58"/>
      <c r="F19" s="73" t="s">
        <v>96</v>
      </c>
      <c r="G19" s="93">
        <f>'Sheet 1'!A10</f>
        <v>2.38704599452864</v>
      </c>
      <c r="H19" s="89" t="s">
        <v>11</v>
      </c>
      <c r="I19" s="41"/>
      <c r="J19" s="40"/>
      <c r="K19" s="40"/>
      <c r="L19" s="43"/>
      <c r="M19" s="43"/>
      <c r="N19" s="43"/>
      <c r="O19" s="43"/>
      <c r="P19" s="110"/>
      <c r="Q19" s="101"/>
      <c r="R19" s="101"/>
      <c r="T19" s="116" t="s">
        <v>4</v>
      </c>
      <c r="U19" s="44"/>
      <c r="V19" s="31"/>
    </row>
    <row r="20" spans="1:22" ht="12.75">
      <c r="A20" s="27"/>
      <c r="B20" s="71" t="s">
        <v>28</v>
      </c>
      <c r="C20" s="57">
        <v>50</v>
      </c>
      <c r="D20" s="74" t="s">
        <v>29</v>
      </c>
      <c r="E20" s="58"/>
      <c r="F20" s="64" t="s">
        <v>97</v>
      </c>
      <c r="G20" s="91">
        <f>'Sheet 1'!G47</f>
        <v>325</v>
      </c>
      <c r="H20" s="80" t="s">
        <v>35</v>
      </c>
      <c r="I20" s="41"/>
      <c r="J20" s="40"/>
      <c r="K20" s="40"/>
      <c r="L20" s="40"/>
      <c r="M20" s="40"/>
      <c r="N20" s="40"/>
      <c r="O20" s="40"/>
      <c r="P20" s="42"/>
      <c r="Q20" s="23"/>
      <c r="R20" s="23"/>
      <c r="S20" s="42"/>
      <c r="T20" s="43"/>
      <c r="U20" s="44"/>
      <c r="V20" s="31"/>
    </row>
    <row r="21" spans="1:22" ht="12.75">
      <c r="A21" s="27"/>
      <c r="B21" s="71" t="s">
        <v>30</v>
      </c>
      <c r="C21" s="57">
        <v>50</v>
      </c>
      <c r="D21" s="74" t="s">
        <v>29</v>
      </c>
      <c r="E21" s="58"/>
      <c r="F21" s="64" t="s">
        <v>12</v>
      </c>
      <c r="G21" s="91">
        <f>'Sheet 1'!A11</f>
        <v>44.343499865736874</v>
      </c>
      <c r="H21" s="80" t="s">
        <v>13</v>
      </c>
      <c r="I21" s="41"/>
      <c r="J21" s="42"/>
      <c r="K21" s="25"/>
      <c r="L21" s="25"/>
      <c r="M21" s="25"/>
      <c r="N21" s="25"/>
      <c r="O21" s="25"/>
      <c r="P21" s="23"/>
      <c r="Q21" s="23"/>
      <c r="R21" s="23"/>
      <c r="S21" s="42"/>
      <c r="T21" s="43"/>
      <c r="U21" s="44"/>
      <c r="V21" s="31"/>
    </row>
    <row r="22" spans="1:22" ht="12.75">
      <c r="A22" s="27"/>
      <c r="B22" s="71" t="s">
        <v>88</v>
      </c>
      <c r="C22" s="57">
        <v>20</v>
      </c>
      <c r="D22" s="74" t="s">
        <v>29</v>
      </c>
      <c r="E22" s="58"/>
      <c r="F22" s="64" t="s">
        <v>14</v>
      </c>
      <c r="G22" s="91">
        <f>'Sheet 1'!A12</f>
        <v>125.39137333538415</v>
      </c>
      <c r="H22" s="80" t="s">
        <v>13</v>
      </c>
      <c r="I22" s="41"/>
      <c r="J22" s="42"/>
      <c r="K22" s="25"/>
      <c r="L22" s="25"/>
      <c r="M22" s="25"/>
      <c r="N22" s="25"/>
      <c r="O22" s="25"/>
      <c r="P22" s="23"/>
      <c r="Q22" s="23"/>
      <c r="R22" s="23"/>
      <c r="S22" s="42"/>
      <c r="T22" s="43"/>
      <c r="U22" s="45"/>
      <c r="V22" s="24"/>
    </row>
    <row r="23" spans="1:22" ht="12.75">
      <c r="A23" s="25"/>
      <c r="B23" s="71" t="s">
        <v>89</v>
      </c>
      <c r="C23" s="57">
        <v>30</v>
      </c>
      <c r="D23" s="74" t="s">
        <v>29</v>
      </c>
      <c r="E23" s="58"/>
      <c r="F23" s="64" t="s">
        <v>15</v>
      </c>
      <c r="G23" s="91">
        <f>'Sheet 1'!G50</f>
        <v>179.48487320112102</v>
      </c>
      <c r="H23" s="80" t="s">
        <v>13</v>
      </c>
      <c r="I23" s="41">
        <f>IF(G23&gt;450,"Dissipation too high!","")</f>
      </c>
      <c r="J23" s="42"/>
      <c r="K23" s="23"/>
      <c r="L23" s="23"/>
      <c r="M23" s="25"/>
      <c r="N23" s="25"/>
      <c r="O23" s="25"/>
      <c r="P23" s="23"/>
      <c r="Q23" s="23"/>
      <c r="R23" s="23"/>
      <c r="S23" s="42"/>
      <c r="T23" s="43"/>
      <c r="U23" s="44"/>
      <c r="V23" s="31"/>
    </row>
    <row r="24" spans="1:22" ht="12.75">
      <c r="A24" s="27"/>
      <c r="B24" s="71" t="s">
        <v>90</v>
      </c>
      <c r="C24" s="59">
        <v>1.5</v>
      </c>
      <c r="D24" s="74" t="s">
        <v>1</v>
      </c>
      <c r="E24" s="58"/>
      <c r="F24" s="64" t="s">
        <v>16</v>
      </c>
      <c r="G24" s="91">
        <f>'Sheet 1'!G51</f>
        <v>76.2945545149223</v>
      </c>
      <c r="H24" s="80" t="s">
        <v>13</v>
      </c>
      <c r="I24" s="41"/>
      <c r="J24" s="42"/>
      <c r="K24" s="23"/>
      <c r="L24" s="23"/>
      <c r="M24" s="25"/>
      <c r="N24" s="25"/>
      <c r="O24" s="25"/>
      <c r="P24" s="23"/>
      <c r="Q24" s="23"/>
      <c r="R24" s="23"/>
      <c r="S24" s="42"/>
      <c r="T24" s="43"/>
      <c r="U24" s="44"/>
      <c r="V24" s="31"/>
    </row>
    <row r="25" spans="1:22" ht="12.75">
      <c r="A25" s="27"/>
      <c r="B25" s="71" t="s">
        <v>91</v>
      </c>
      <c r="C25" s="59">
        <v>166</v>
      </c>
      <c r="D25" s="74" t="s">
        <v>34</v>
      </c>
      <c r="E25" s="58"/>
      <c r="F25" s="64" t="s">
        <v>17</v>
      </c>
      <c r="G25" s="91">
        <f>'Sheet 1'!G52</f>
        <v>34.88564436731769</v>
      </c>
      <c r="H25" s="80" t="s">
        <v>13</v>
      </c>
      <c r="I25" s="41"/>
      <c r="J25" s="41"/>
      <c r="K25" s="23"/>
      <c r="L25" s="23"/>
      <c r="M25" s="32"/>
      <c r="N25" s="25"/>
      <c r="O25" s="25"/>
      <c r="P25" s="23"/>
      <c r="Q25" s="23"/>
      <c r="R25" s="23"/>
      <c r="S25" s="42"/>
      <c r="T25" s="43"/>
      <c r="U25" s="44"/>
      <c r="V25" s="31"/>
    </row>
    <row r="26" spans="1:22" ht="13.5" thickBot="1">
      <c r="A26" s="27"/>
      <c r="B26" s="72" t="s">
        <v>43</v>
      </c>
      <c r="C26" s="60">
        <v>1.25</v>
      </c>
      <c r="D26" s="75" t="s">
        <v>0</v>
      </c>
      <c r="E26" s="58"/>
      <c r="F26" s="64" t="s">
        <v>19</v>
      </c>
      <c r="G26" s="91">
        <f>'Sheet 1'!A14</f>
        <v>58.14274061219616</v>
      </c>
      <c r="H26" s="80" t="s">
        <v>13</v>
      </c>
      <c r="I26" s="41"/>
      <c r="J26" s="41"/>
      <c r="K26" s="23"/>
      <c r="L26" s="23"/>
      <c r="M26" s="23"/>
      <c r="N26" s="23"/>
      <c r="O26" s="23"/>
      <c r="P26" s="23"/>
      <c r="Q26" s="23"/>
      <c r="R26" s="23"/>
      <c r="S26" s="42"/>
      <c r="T26" s="43"/>
      <c r="U26" s="44"/>
      <c r="V26" s="31"/>
    </row>
    <row r="27" spans="1:22" ht="12.75">
      <c r="A27" s="27"/>
      <c r="B27" s="58"/>
      <c r="C27" s="58"/>
      <c r="D27" s="58"/>
      <c r="E27" s="58"/>
      <c r="F27" s="64" t="s">
        <v>98</v>
      </c>
      <c r="G27" s="91">
        <f>'Sheet 1'!G54</f>
        <v>87.25049519186634</v>
      </c>
      <c r="H27" s="80" t="s">
        <v>18</v>
      </c>
      <c r="I27" s="41"/>
      <c r="J27" s="41"/>
      <c r="K27" s="25"/>
      <c r="L27" s="25"/>
      <c r="M27" s="25"/>
      <c r="N27" s="23"/>
      <c r="O27" s="23"/>
      <c r="P27" s="23"/>
      <c r="Q27" s="23"/>
      <c r="R27" s="23"/>
      <c r="S27" s="42"/>
      <c r="T27" s="43"/>
      <c r="U27" s="44"/>
      <c r="V27" s="31"/>
    </row>
    <row r="28" spans="1:22" ht="13.5" thickBot="1">
      <c r="A28" s="27"/>
      <c r="B28" s="58"/>
      <c r="C28" s="58"/>
      <c r="D28" s="58"/>
      <c r="E28" s="58"/>
      <c r="F28" s="65" t="s">
        <v>99</v>
      </c>
      <c r="G28" s="146">
        <f>'Sheet 1'!G55</f>
        <v>91.25524847778355</v>
      </c>
      <c r="H28" s="82" t="s">
        <v>4</v>
      </c>
      <c r="I28" s="42"/>
      <c r="J28" s="41"/>
      <c r="K28" s="25"/>
      <c r="L28" s="25"/>
      <c r="M28" s="25"/>
      <c r="N28" s="23"/>
      <c r="O28" s="23"/>
      <c r="P28" s="23"/>
      <c r="Q28" s="23"/>
      <c r="R28" s="23"/>
      <c r="S28" s="42"/>
      <c r="T28" s="42"/>
      <c r="U28" s="42"/>
      <c r="V28" s="23"/>
    </row>
    <row r="29" spans="1:22" ht="13.5" thickBot="1">
      <c r="A29" s="25"/>
      <c r="B29" s="58"/>
      <c r="C29" s="58"/>
      <c r="D29" s="58"/>
      <c r="E29" s="58"/>
      <c r="F29" s="119" t="s">
        <v>81</v>
      </c>
      <c r="G29" s="66"/>
      <c r="H29" s="63"/>
      <c r="I29" s="147"/>
      <c r="J29" s="41"/>
      <c r="K29" s="25"/>
      <c r="L29" s="25"/>
      <c r="M29" s="25"/>
      <c r="N29" s="25"/>
      <c r="O29" s="25"/>
      <c r="P29" s="25"/>
      <c r="Q29" s="23"/>
      <c r="R29" s="23"/>
      <c r="V29" s="23"/>
    </row>
    <row r="30" spans="1:22" ht="12.75">
      <c r="A30" s="25"/>
      <c r="B30" s="58"/>
      <c r="C30" s="58"/>
      <c r="D30" s="58"/>
      <c r="E30" s="58"/>
      <c r="F30" s="70" t="s">
        <v>76</v>
      </c>
      <c r="G30" s="94">
        <f>'Sheet 1'!G56</f>
        <v>1.7157156540971878</v>
      </c>
      <c r="H30" s="95" t="s">
        <v>1</v>
      </c>
      <c r="I30" s="147"/>
      <c r="J30" s="41"/>
      <c r="K30" s="25"/>
      <c r="L30" s="25"/>
      <c r="M30" s="25"/>
      <c r="N30" s="25"/>
      <c r="O30" s="25"/>
      <c r="P30" s="25"/>
      <c r="Q30" s="23"/>
      <c r="R30" s="23"/>
      <c r="V30" s="26"/>
    </row>
    <row r="31" spans="1:18" ht="13.5" thickBot="1">
      <c r="A31" s="27"/>
      <c r="B31" s="58"/>
      <c r="C31" s="58"/>
      <c r="D31" s="58"/>
      <c r="E31" s="58"/>
      <c r="F31" s="72" t="s">
        <v>100</v>
      </c>
      <c r="G31" s="96">
        <f>'Sheet 1'!G57</f>
        <v>54.794488951386086</v>
      </c>
      <c r="H31" s="97" t="s">
        <v>38</v>
      </c>
      <c r="I31" s="41">
        <f>IF(G31&gt;150,"Die Tj too high!","")</f>
      </c>
      <c r="J31" s="41"/>
      <c r="K31" s="25"/>
      <c r="L31" s="25"/>
      <c r="M31" s="25"/>
      <c r="N31" s="25"/>
      <c r="O31" s="25"/>
      <c r="P31" s="25"/>
      <c r="Q31" s="23"/>
      <c r="R31" s="23"/>
    </row>
    <row r="32" spans="1:22" ht="12.75">
      <c r="A32" s="27"/>
      <c r="F32" s="41"/>
      <c r="G32" s="41"/>
      <c r="H32" s="41"/>
      <c r="I32" s="147"/>
      <c r="J32" s="41"/>
      <c r="K32" s="25"/>
      <c r="L32" s="25"/>
      <c r="M32" s="25"/>
      <c r="N32" s="25"/>
      <c r="O32" s="25"/>
      <c r="P32" s="25"/>
      <c r="Q32" s="23"/>
      <c r="R32" s="23"/>
      <c r="S32" s="42"/>
      <c r="T32" s="42"/>
      <c r="U32" s="42"/>
      <c r="V32" s="23"/>
    </row>
    <row r="33" spans="1:22" ht="12.75">
      <c r="A33" s="25"/>
      <c r="I33" s="148"/>
      <c r="J33" s="148"/>
      <c r="K33" s="25"/>
      <c r="L33" s="25"/>
      <c r="M33" s="25"/>
      <c r="N33" s="25"/>
      <c r="O33" s="25"/>
      <c r="P33" s="25"/>
      <c r="Q33" s="23"/>
      <c r="R33" s="23"/>
      <c r="S33" s="23"/>
      <c r="T33" s="23"/>
      <c r="U33" s="23"/>
      <c r="V33" s="23"/>
    </row>
    <row r="34" spans="1:22" ht="12.75">
      <c r="A34" s="25"/>
      <c r="F34" s="41"/>
      <c r="G34" s="41"/>
      <c r="H34" s="41"/>
      <c r="I34" s="22"/>
      <c r="J34" s="28"/>
      <c r="K34" s="25"/>
      <c r="L34" s="25"/>
      <c r="M34" s="25"/>
      <c r="N34" s="25"/>
      <c r="O34" s="25"/>
      <c r="P34" s="25"/>
      <c r="Q34" s="23"/>
      <c r="R34" s="23"/>
      <c r="S34" s="23"/>
      <c r="T34" s="23"/>
      <c r="U34" s="23"/>
      <c r="V34" s="23"/>
    </row>
    <row r="35" spans="1:22" ht="12.75">
      <c r="A35" s="25"/>
      <c r="K35" s="25"/>
      <c r="L35" s="25"/>
      <c r="M35" s="25"/>
      <c r="N35" s="25"/>
      <c r="O35" s="25"/>
      <c r="P35" s="25"/>
      <c r="Q35" s="23"/>
      <c r="R35" s="23"/>
      <c r="S35" s="23"/>
      <c r="T35" s="23"/>
      <c r="U35" s="23"/>
      <c r="V35" s="23"/>
    </row>
    <row r="36" spans="1:22" ht="12.75">
      <c r="A36" s="25"/>
      <c r="F36" s="41"/>
      <c r="G36" s="41"/>
      <c r="H36" s="41"/>
      <c r="I36" s="22"/>
      <c r="J36" s="28"/>
      <c r="K36" s="25"/>
      <c r="L36" s="25"/>
      <c r="M36" s="25"/>
      <c r="N36" s="25"/>
      <c r="O36" s="25"/>
      <c r="P36" s="25"/>
      <c r="Q36" s="23"/>
      <c r="R36" s="23"/>
      <c r="S36" s="23"/>
      <c r="T36" s="23"/>
      <c r="U36" s="23"/>
      <c r="V36" s="23"/>
    </row>
    <row r="37" spans="1:22" ht="12.75">
      <c r="A37" s="25"/>
      <c r="F37" s="41"/>
      <c r="G37" s="41"/>
      <c r="H37" s="41"/>
      <c r="I37" s="22"/>
      <c r="J37" s="28"/>
      <c r="K37" s="25"/>
      <c r="L37" s="25"/>
      <c r="M37" s="25"/>
      <c r="N37" s="25"/>
      <c r="O37" s="25"/>
      <c r="P37" s="25"/>
      <c r="Q37" s="23"/>
      <c r="R37" s="23"/>
      <c r="S37" s="23"/>
      <c r="T37" s="23"/>
      <c r="U37" s="23"/>
      <c r="V37" s="23"/>
    </row>
    <row r="38" spans="1:22" ht="12.75">
      <c r="A38" s="25"/>
      <c r="F38" s="41"/>
      <c r="G38" s="41"/>
      <c r="H38" s="41"/>
      <c r="I38" s="25"/>
      <c r="J38" s="25"/>
      <c r="K38" s="25"/>
      <c r="L38" s="25"/>
      <c r="M38" s="25"/>
      <c r="N38" s="25"/>
      <c r="O38" s="25"/>
      <c r="P38" s="25"/>
      <c r="Q38" s="23"/>
      <c r="R38" s="23"/>
      <c r="S38" s="23"/>
      <c r="T38" s="23"/>
      <c r="U38" s="23"/>
      <c r="V38" s="23"/>
    </row>
    <row r="39" spans="1:22" ht="12.75">
      <c r="A39" s="25"/>
      <c r="F39" s="41"/>
      <c r="G39" s="41"/>
      <c r="H39" s="41"/>
      <c r="I39" s="28"/>
      <c r="J39" s="28"/>
      <c r="K39" s="25"/>
      <c r="L39" s="25"/>
      <c r="M39" s="25"/>
      <c r="N39" s="25"/>
      <c r="O39" s="25"/>
      <c r="P39" s="25"/>
      <c r="Q39" s="23"/>
      <c r="R39" s="23"/>
      <c r="S39" s="23"/>
      <c r="T39" s="23"/>
      <c r="U39" s="23"/>
      <c r="V39" s="23"/>
    </row>
    <row r="40" spans="1:22" ht="12.75">
      <c r="A40" s="25"/>
      <c r="F40" s="41"/>
      <c r="G40" s="41"/>
      <c r="H40" s="41"/>
      <c r="I40" s="28"/>
      <c r="J40" s="28"/>
      <c r="K40" s="25"/>
      <c r="L40" s="25"/>
      <c r="M40" s="25"/>
      <c r="N40" s="25"/>
      <c r="O40" s="25"/>
      <c r="P40" s="25"/>
      <c r="Q40" s="23"/>
      <c r="R40" s="23"/>
      <c r="S40" s="23"/>
      <c r="T40" s="23"/>
      <c r="U40" s="23"/>
      <c r="V40" s="23"/>
    </row>
    <row r="41" spans="1:22" ht="12.75">
      <c r="A41" s="25"/>
      <c r="F41" s="42"/>
      <c r="G41" s="42"/>
      <c r="H41" s="42"/>
      <c r="I41" s="28"/>
      <c r="J41" s="28"/>
      <c r="K41" s="25"/>
      <c r="L41" s="25"/>
      <c r="M41" s="25"/>
      <c r="N41" s="25"/>
      <c r="O41" s="25"/>
      <c r="P41" s="25"/>
      <c r="Q41" s="23"/>
      <c r="R41" s="23"/>
      <c r="S41" s="23"/>
      <c r="T41" s="23"/>
      <c r="U41" s="23"/>
      <c r="V41" s="23"/>
    </row>
    <row r="42" spans="1:22" ht="12.75">
      <c r="A42" s="25"/>
      <c r="F42" s="22"/>
      <c r="G42" s="22"/>
      <c r="H42" s="22"/>
      <c r="I42" s="28"/>
      <c r="J42" s="28"/>
      <c r="K42" s="25"/>
      <c r="L42" s="25"/>
      <c r="M42" s="25"/>
      <c r="N42" s="25"/>
      <c r="O42" s="25"/>
      <c r="P42" s="25"/>
      <c r="Q42" s="23"/>
      <c r="R42" s="23"/>
      <c r="S42" s="23"/>
      <c r="T42" s="23"/>
      <c r="U42" s="23"/>
      <c r="V42" s="23"/>
    </row>
    <row r="43" spans="1:22" ht="12" customHeight="1">
      <c r="A43" s="25"/>
      <c r="E43" s="23"/>
      <c r="F43" s="23"/>
      <c r="G43" s="23"/>
      <c r="H43" s="23"/>
      <c r="I43" s="25"/>
      <c r="J43" s="25"/>
      <c r="K43" s="25"/>
      <c r="L43" s="25"/>
      <c r="M43" s="25"/>
      <c r="N43" s="25"/>
      <c r="O43" s="25"/>
      <c r="P43" s="25"/>
      <c r="Q43" s="23"/>
      <c r="R43" s="23"/>
      <c r="S43" s="23"/>
      <c r="T43" s="23"/>
      <c r="U43" s="23"/>
      <c r="V43" s="23"/>
    </row>
    <row r="44" spans="1:22" ht="12.75">
      <c r="A44" s="25"/>
      <c r="E44" s="25"/>
      <c r="F44" s="25"/>
      <c r="G44" s="25"/>
      <c r="H44" s="25"/>
      <c r="I44" s="25"/>
      <c r="J44" s="25"/>
      <c r="K44" s="25"/>
      <c r="L44" s="25"/>
      <c r="M44" s="25"/>
      <c r="N44" s="25"/>
      <c r="O44" s="25"/>
      <c r="P44" s="25"/>
      <c r="Q44" s="23"/>
      <c r="R44" s="23"/>
      <c r="S44" s="23"/>
      <c r="T44" s="23"/>
      <c r="U44" s="23"/>
      <c r="V44" s="23"/>
    </row>
    <row r="45" spans="1:22" ht="12.75">
      <c r="A45" s="34"/>
      <c r="E45" s="34"/>
      <c r="F45" s="34"/>
      <c r="G45" s="34"/>
      <c r="H45" s="34"/>
      <c r="I45" s="34"/>
      <c r="J45" s="34"/>
      <c r="K45" s="34"/>
      <c r="L45" s="34"/>
      <c r="M45" s="34"/>
      <c r="N45" s="34"/>
      <c r="O45" s="34"/>
      <c r="P45" s="34"/>
      <c r="Q45" s="34"/>
      <c r="R45" s="34"/>
      <c r="S45" s="34"/>
      <c r="T45" s="34"/>
      <c r="U45" s="34"/>
      <c r="V45" s="34"/>
    </row>
  </sheetData>
  <sheetProtection password="C9C9" sheet="1" objects="1" scenarios="1"/>
  <mergeCells count="1">
    <mergeCell ref="B8:D8"/>
  </mergeCells>
  <dataValidations count="16">
    <dataValidation type="decimal" allowBlank="1" showInputMessage="1" showErrorMessage="1" errorTitle="Voltage out of range" error="Please enter voltage between 0.3V and 2.5V" sqref="C26">
      <formula1>0.3</formula1>
      <formula2>2.5</formula2>
    </dataValidation>
    <dataValidation type="decimal" allowBlank="1" showInputMessage="1" showErrorMessage="1" errorTitle="Temperature out of range" error="Please enter temperature&#10;between  -40 and 105 Deg C" sqref="C19">
      <formula1>-40</formula1>
      <formula2>105</formula2>
    </dataValidation>
    <dataValidation type="decimal" operator="greaterThanOrEqual" allowBlank="1" showInputMessage="1" showErrorMessage="1" sqref="C22:C23">
      <formula1>0</formula1>
    </dataValidation>
    <dataValidation type="decimal" allowBlank="1" showInputMessage="1" showErrorMessage="1" errorTitle="Thermal resistance" error="Value outside expected range" sqref="C25">
      <formula1>10</formula1>
      <formula2>250</formula2>
    </dataValidation>
    <dataValidation type="whole" allowBlank="1" showInputMessage="1" showErrorMessage="1" prompt="Please enter an integer between 1 and 8" errorTitle="Invalid Number" error="Integer please! 1-8" sqref="C10">
      <formula1>1</formula1>
      <formula2>10</formula2>
    </dataValidation>
    <dataValidation errorStyle="warning" type="decimal" allowBlank="1" showInputMessage="1" showErrorMessage="1" prompt="Vin between 7V and 30V" errorTitle="Supply Voltage Range" error="Outside specified input voltage range" sqref="C9">
      <formula1>7</formula1>
      <formula2>30</formula2>
    </dataValidation>
    <dataValidation errorStyle="warning" type="decimal" operator="greaterThanOrEqual" allowBlank="1" showInputMessage="1" showErrorMessage="1" prompt="Expected value of Rsense  &gt;0.27R" errorTitle="Check Rsense value" error="Rsense minimum = 0.27 for ADJ pin voltage of 1.25" sqref="C13">
      <formula1>0.27</formula1>
    </dataValidation>
    <dataValidation type="decimal" allowBlank="1" showInputMessage="1" showErrorMessage="1" prompt="33uH&lt;L&lt;1000uH" errorTitle="Inductor Value" error="Inductor size outside of expected range" sqref="C14">
      <formula1>33</formula1>
      <formula2>1000</formula2>
    </dataValidation>
    <dataValidation errorStyle="warning" type="decimal" allowBlank="1" showInputMessage="1" showErrorMessage="1" prompt="Expected range 0 to 5V" errorTitle="LED Voltage" error="Voltage outside normal range" sqref="C11">
      <formula1>0</formula1>
      <formula2>5</formula2>
    </dataValidation>
    <dataValidation type="decimal" allowBlank="1" showInputMessage="1" showErrorMessage="1" prompt="Expected range 0 to 1.5V" errorTitle="Diode Voltage" error="Voltage outside expected range" sqref="C12">
      <formula1>0</formula1>
      <formula2>1.5</formula2>
    </dataValidation>
    <dataValidation type="decimal" allowBlank="1" showInputMessage="1" showErrorMessage="1" errorTitle="Coil Resistance" error="Value outside expected range" sqref="C15">
      <formula1>0</formula1>
      <formula2>10</formula2>
    </dataValidation>
    <dataValidation type="decimal" allowBlank="1" showInputMessage="1" showErrorMessage="1" errorTitle="L&gt;H delay" error="Value outside expected range" sqref="C20">
      <formula1>25</formula1>
      <formula2>100</formula2>
    </dataValidation>
    <dataValidation type="decimal" allowBlank="1" showInputMessage="1" showErrorMessage="1" errorTitle="H&gt;L Delay" error="Value outside expected range" sqref="C21">
      <formula1>25</formula1>
      <formula2>100</formula2>
    </dataValidation>
    <dataValidation type="decimal" allowBlank="1" showInputMessage="1" showErrorMessage="1" errorTitle="Switch resistance" error="Value outside expected range" sqref="C24">
      <formula1>0.5</formula1>
      <formula2>3</formula2>
    </dataValidation>
    <dataValidation errorStyle="information" allowBlank="1" showInputMessage="1" showErrorMessage="1" errorTitle="124" error="hi" sqref="G19"/>
    <dataValidation type="custom" allowBlank="1" showInputMessage="1" showErrorMessage="1" sqref="G23">
      <formula1>"IF(&gt;450,""XXX"",)"</formula1>
    </dataValidation>
  </dataValidations>
  <printOptions/>
  <pageMargins left="0.2" right="0.2" top="0.27" bottom="0.25" header="0.17" footer="0.17"/>
  <pageSetup horizontalDpi="600" verticalDpi="600" orientation="landscape" r:id="rId4"/>
  <drawing r:id="rId3"/>
  <legacyDrawing r:id="rId2"/>
  <oleObjects>
    <oleObject progId="Visio.Drawing.11" shapeId="18306613" r:id="rId1"/>
  </oleObjects>
</worksheet>
</file>

<file path=xl/worksheets/sheet2.xml><?xml version="1.0" encoding="utf-8"?>
<worksheet xmlns="http://schemas.openxmlformats.org/spreadsheetml/2006/main" xmlns:r="http://schemas.openxmlformats.org/officeDocument/2006/relationships">
  <dimension ref="A1:D53"/>
  <sheetViews>
    <sheetView showGridLines="0" zoomScale="75" zoomScaleNormal="75" workbookViewId="0" topLeftCell="A1">
      <selection activeCell="D27" sqref="D27"/>
    </sheetView>
  </sheetViews>
  <sheetFormatPr defaultColWidth="9.140625" defaultRowHeight="12.75"/>
  <cols>
    <col min="1" max="1" width="30.8515625" style="37" customWidth="1"/>
    <col min="2" max="2" width="15.28125" style="0" customWidth="1"/>
    <col min="3" max="3" width="86.8515625" style="37" customWidth="1"/>
    <col min="4" max="4" width="56.28125" style="0" customWidth="1"/>
  </cols>
  <sheetData>
    <row r="1" spans="1:3" ht="20.25">
      <c r="A1" s="124" t="s">
        <v>104</v>
      </c>
      <c r="C1" s="38"/>
    </row>
    <row r="2" spans="1:3" s="121" customFormat="1" ht="9.75" customHeight="1">
      <c r="A2" s="120"/>
      <c r="C2" s="122"/>
    </row>
    <row r="3" spans="1:4" s="121" customFormat="1" ht="42.75" customHeight="1">
      <c r="A3" s="152" t="s">
        <v>105</v>
      </c>
      <c r="B3" s="152"/>
      <c r="C3" s="152"/>
      <c r="D3" s="123"/>
    </row>
    <row r="4" spans="1:4" s="121" customFormat="1" ht="27" customHeight="1">
      <c r="A4" s="152" t="s">
        <v>106</v>
      </c>
      <c r="B4" s="152"/>
      <c r="C4" s="152"/>
      <c r="D4" s="123"/>
    </row>
    <row r="5" spans="1:4" s="121" customFormat="1" ht="7.5" customHeight="1">
      <c r="A5" s="125"/>
      <c r="B5" s="125"/>
      <c r="C5" s="125"/>
      <c r="D5" s="123"/>
    </row>
    <row r="6" spans="1:4" ht="21.75" customHeight="1">
      <c r="A6" s="127" t="s">
        <v>83</v>
      </c>
      <c r="B6" s="128"/>
      <c r="C6" s="129"/>
      <c r="D6" s="39"/>
    </row>
    <row r="7" spans="1:3" ht="12.75">
      <c r="A7" s="130" t="s">
        <v>83</v>
      </c>
      <c r="B7" s="131" t="s">
        <v>45</v>
      </c>
      <c r="C7" s="132" t="s">
        <v>44</v>
      </c>
    </row>
    <row r="8" spans="1:3" ht="12.75">
      <c r="A8" s="133" t="s">
        <v>84</v>
      </c>
      <c r="B8" s="134" t="s">
        <v>46</v>
      </c>
      <c r="C8" s="135" t="s">
        <v>52</v>
      </c>
    </row>
    <row r="9" spans="1:3" ht="24">
      <c r="A9" s="133" t="s">
        <v>8</v>
      </c>
      <c r="B9" s="134" t="s">
        <v>47</v>
      </c>
      <c r="C9" s="135" t="s">
        <v>107</v>
      </c>
    </row>
    <row r="10" spans="1:3" ht="24">
      <c r="A10" s="133" t="s">
        <v>85</v>
      </c>
      <c r="B10" s="134" t="s">
        <v>48</v>
      </c>
      <c r="C10" s="135" t="s">
        <v>108</v>
      </c>
    </row>
    <row r="11" spans="1:3" ht="24">
      <c r="A11" s="133" t="s">
        <v>2</v>
      </c>
      <c r="B11" s="134" t="s">
        <v>55</v>
      </c>
      <c r="C11" s="135" t="s">
        <v>56</v>
      </c>
    </row>
    <row r="12" spans="1:3" ht="36">
      <c r="A12" s="133" t="s">
        <v>75</v>
      </c>
      <c r="B12" s="134" t="s">
        <v>49</v>
      </c>
      <c r="C12" s="135" t="s">
        <v>109</v>
      </c>
    </row>
    <row r="13" spans="1:3" ht="24">
      <c r="A13" s="133" t="s">
        <v>86</v>
      </c>
      <c r="B13" s="134" t="s">
        <v>50</v>
      </c>
      <c r="C13" s="135" t="s">
        <v>110</v>
      </c>
    </row>
    <row r="14" spans="1:3" ht="24">
      <c r="A14" s="133" t="s">
        <v>87</v>
      </c>
      <c r="B14" s="134" t="s">
        <v>51</v>
      </c>
      <c r="C14" s="135" t="s">
        <v>111</v>
      </c>
    </row>
    <row r="15" spans="1:3" ht="18.75" customHeight="1">
      <c r="A15" s="136"/>
      <c r="B15" s="137"/>
      <c r="C15" s="136"/>
    </row>
    <row r="16" spans="1:3" ht="12.75">
      <c r="A16" s="132" t="s">
        <v>103</v>
      </c>
      <c r="B16" s="131" t="s">
        <v>45</v>
      </c>
      <c r="C16" s="132" t="s">
        <v>44</v>
      </c>
    </row>
    <row r="17" spans="1:3" s="126" customFormat="1" ht="12.75">
      <c r="A17" s="133" t="s">
        <v>27</v>
      </c>
      <c r="B17" s="134" t="s">
        <v>53</v>
      </c>
      <c r="C17" s="135" t="s">
        <v>112</v>
      </c>
    </row>
    <row r="18" spans="1:3" s="126" customFormat="1" ht="36">
      <c r="A18" s="133" t="s">
        <v>28</v>
      </c>
      <c r="B18" s="134" t="s">
        <v>54</v>
      </c>
      <c r="C18" s="135" t="s">
        <v>114</v>
      </c>
    </row>
    <row r="19" spans="1:3" s="126" customFormat="1" ht="36">
      <c r="A19" s="133" t="s">
        <v>30</v>
      </c>
      <c r="B19" s="134" t="s">
        <v>54</v>
      </c>
      <c r="C19" s="135" t="s">
        <v>113</v>
      </c>
    </row>
    <row r="20" spans="1:3" s="126" customFormat="1" ht="24">
      <c r="A20" s="133" t="s">
        <v>88</v>
      </c>
      <c r="B20" s="134" t="s">
        <v>57</v>
      </c>
      <c r="C20" s="135" t="s">
        <v>115</v>
      </c>
    </row>
    <row r="21" spans="1:3" s="126" customFormat="1" ht="24">
      <c r="A21" s="133" t="s">
        <v>89</v>
      </c>
      <c r="B21" s="134" t="s">
        <v>58</v>
      </c>
      <c r="C21" s="135" t="s">
        <v>62</v>
      </c>
    </row>
    <row r="22" spans="1:3" s="126" customFormat="1" ht="24">
      <c r="A22" s="133" t="s">
        <v>90</v>
      </c>
      <c r="B22" s="134" t="s">
        <v>59</v>
      </c>
      <c r="C22" s="135" t="s">
        <v>116</v>
      </c>
    </row>
    <row r="23" spans="1:3" s="126" customFormat="1" ht="48">
      <c r="A23" s="133" t="s">
        <v>91</v>
      </c>
      <c r="B23" s="134" t="s">
        <v>60</v>
      </c>
      <c r="C23" s="135" t="s">
        <v>80</v>
      </c>
    </row>
    <row r="24" spans="1:3" s="126" customFormat="1" ht="36">
      <c r="A24" s="133" t="s">
        <v>43</v>
      </c>
      <c r="B24" s="134">
        <v>1.25</v>
      </c>
      <c r="C24" s="135" t="s">
        <v>117</v>
      </c>
    </row>
    <row r="25" spans="1:3" ht="12.75">
      <c r="A25" s="136"/>
      <c r="B25" s="138"/>
      <c r="C25" s="136"/>
    </row>
    <row r="26" spans="1:3" ht="20.25">
      <c r="A26" s="127" t="s">
        <v>118</v>
      </c>
      <c r="B26" s="138"/>
      <c r="C26" s="136"/>
    </row>
    <row r="27" spans="1:3" ht="12.75">
      <c r="A27" s="140" t="s">
        <v>20</v>
      </c>
      <c r="B27" s="130" t="s">
        <v>45</v>
      </c>
      <c r="C27" s="132" t="s">
        <v>44</v>
      </c>
    </row>
    <row r="28" spans="1:3" ht="12.75">
      <c r="A28" s="133" t="s">
        <v>9</v>
      </c>
      <c r="B28" s="134" t="s">
        <v>63</v>
      </c>
      <c r="C28" s="135" t="s">
        <v>120</v>
      </c>
    </row>
    <row r="29" spans="1:3" ht="12.75">
      <c r="A29" s="133" t="s">
        <v>10</v>
      </c>
      <c r="B29" s="134" t="s">
        <v>63</v>
      </c>
      <c r="C29" s="135" t="s">
        <v>121</v>
      </c>
    </row>
    <row r="30" spans="1:3" ht="12.75">
      <c r="A30" s="133" t="s">
        <v>92</v>
      </c>
      <c r="B30" s="134" t="s">
        <v>64</v>
      </c>
      <c r="C30" s="135" t="s">
        <v>122</v>
      </c>
    </row>
    <row r="31" spans="1:3" ht="12.75">
      <c r="A31" s="133" t="s">
        <v>93</v>
      </c>
      <c r="B31" s="134" t="s">
        <v>65</v>
      </c>
      <c r="C31" s="135" t="s">
        <v>123</v>
      </c>
    </row>
    <row r="32" spans="1:3" s="110" customFormat="1" ht="12.75">
      <c r="A32" s="143"/>
      <c r="B32" s="144"/>
      <c r="C32" s="145"/>
    </row>
    <row r="33" spans="1:3" ht="12.75">
      <c r="A33" s="141" t="s">
        <v>21</v>
      </c>
      <c r="B33" s="130" t="s">
        <v>45</v>
      </c>
      <c r="C33" s="132" t="s">
        <v>44</v>
      </c>
    </row>
    <row r="34" spans="1:3" ht="12.75">
      <c r="A34" s="133" t="s">
        <v>69</v>
      </c>
      <c r="B34" s="134" t="s">
        <v>66</v>
      </c>
      <c r="C34" s="135" t="s">
        <v>124</v>
      </c>
    </row>
    <row r="35" spans="1:3" ht="12.75">
      <c r="A35" s="133" t="s">
        <v>61</v>
      </c>
      <c r="B35" s="139" t="s">
        <v>67</v>
      </c>
      <c r="C35" s="135" t="s">
        <v>125</v>
      </c>
    </row>
    <row r="36" spans="1:3" ht="24">
      <c r="A36" s="133" t="s">
        <v>95</v>
      </c>
      <c r="B36" s="139" t="s">
        <v>68</v>
      </c>
      <c r="C36" s="135" t="s">
        <v>126</v>
      </c>
    </row>
    <row r="37" spans="1:3" ht="24">
      <c r="A37" s="133" t="s">
        <v>70</v>
      </c>
      <c r="B37" s="134" t="s">
        <v>71</v>
      </c>
      <c r="C37" s="135" t="s">
        <v>127</v>
      </c>
    </row>
    <row r="38" spans="1:3" s="110" customFormat="1" ht="12.75">
      <c r="A38" s="143"/>
      <c r="B38" s="144"/>
      <c r="C38" s="145"/>
    </row>
    <row r="39" spans="1:3" ht="12.75">
      <c r="A39" s="141" t="s">
        <v>22</v>
      </c>
      <c r="B39" s="130" t="s">
        <v>45</v>
      </c>
      <c r="C39" s="132" t="s">
        <v>44</v>
      </c>
    </row>
    <row r="40" spans="1:3" ht="12.75">
      <c r="A40" s="133" t="s">
        <v>96</v>
      </c>
      <c r="B40" s="134" t="s">
        <v>73</v>
      </c>
      <c r="C40" s="135" t="s">
        <v>128</v>
      </c>
    </row>
    <row r="41" spans="1:3" ht="12.75">
      <c r="A41" s="133" t="s">
        <v>97</v>
      </c>
      <c r="B41" s="134" t="s">
        <v>79</v>
      </c>
      <c r="C41" s="135" t="s">
        <v>129</v>
      </c>
    </row>
    <row r="42" spans="1:3" ht="24">
      <c r="A42" s="133" t="s">
        <v>12</v>
      </c>
      <c r="B42" s="134"/>
      <c r="C42" s="135" t="s">
        <v>119</v>
      </c>
    </row>
    <row r="43" spans="1:3" ht="24">
      <c r="A43" s="133" t="s">
        <v>14</v>
      </c>
      <c r="B43" s="134"/>
      <c r="C43" s="135" t="s">
        <v>130</v>
      </c>
    </row>
    <row r="44" spans="1:3" ht="24">
      <c r="A44" s="133" t="s">
        <v>15</v>
      </c>
      <c r="B44" s="134" t="s">
        <v>72</v>
      </c>
      <c r="C44" s="135" t="s">
        <v>131</v>
      </c>
    </row>
    <row r="45" spans="1:3" ht="24">
      <c r="A45" s="133" t="s">
        <v>16</v>
      </c>
      <c r="B45" s="134"/>
      <c r="C45" s="135" t="s">
        <v>132</v>
      </c>
    </row>
    <row r="46" spans="1:3" ht="12.75">
      <c r="A46" s="133" t="s">
        <v>17</v>
      </c>
      <c r="B46" s="134"/>
      <c r="C46" s="135" t="s">
        <v>133</v>
      </c>
    </row>
    <row r="47" spans="1:3" ht="20.25" customHeight="1">
      <c r="A47" s="133" t="s">
        <v>19</v>
      </c>
      <c r="B47" s="134"/>
      <c r="C47" s="135" t="s">
        <v>134</v>
      </c>
    </row>
    <row r="48" spans="1:3" ht="12.75">
      <c r="A48" s="133" t="s">
        <v>98</v>
      </c>
      <c r="B48" s="134" t="s">
        <v>74</v>
      </c>
      <c r="C48" s="135" t="s">
        <v>135</v>
      </c>
    </row>
    <row r="49" spans="1:3" ht="12.75">
      <c r="A49" s="133" t="s">
        <v>99</v>
      </c>
      <c r="B49" s="134"/>
      <c r="C49" s="135" t="s">
        <v>136</v>
      </c>
    </row>
    <row r="50" spans="1:3" s="110" customFormat="1" ht="12.75">
      <c r="A50" s="143"/>
      <c r="B50" s="144"/>
      <c r="C50" s="145"/>
    </row>
    <row r="51" spans="1:3" ht="12.75">
      <c r="A51" s="141" t="s">
        <v>81</v>
      </c>
      <c r="B51" s="130" t="s">
        <v>45</v>
      </c>
      <c r="C51" s="132" t="s">
        <v>44</v>
      </c>
    </row>
    <row r="52" spans="1:3" ht="48">
      <c r="A52" s="133" t="s">
        <v>76</v>
      </c>
      <c r="B52" s="139"/>
      <c r="C52" s="142" t="s">
        <v>77</v>
      </c>
    </row>
    <row r="53" spans="1:3" ht="24">
      <c r="A53" s="133" t="s">
        <v>100</v>
      </c>
      <c r="B53" s="139"/>
      <c r="C53" s="142" t="s">
        <v>78</v>
      </c>
    </row>
  </sheetData>
  <sheetProtection password="C9C9" sheet="1" objects="1" scenarios="1"/>
  <mergeCells count="2">
    <mergeCell ref="A3:C3"/>
    <mergeCell ref="A4:C4"/>
  </mergeCells>
  <printOptions/>
  <pageMargins left="0.2" right="0.24" top="0.27" bottom="0.24" header="0.18" footer="0.16"/>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R59"/>
  <sheetViews>
    <sheetView workbookViewId="0" topLeftCell="A1">
      <selection activeCell="P29" sqref="P29"/>
    </sheetView>
  </sheetViews>
  <sheetFormatPr defaultColWidth="9.140625" defaultRowHeight="12.75"/>
  <cols>
    <col min="17" max="17" width="9.00390625" style="0" bestFit="1" customWidth="1"/>
    <col min="18" max="18" width="27.00390625" style="0" customWidth="1"/>
  </cols>
  <sheetData>
    <row r="1" spans="1:18" ht="12.75">
      <c r="A1" s="1">
        <f>IF('Sheet 1'!P10&gt;0,1000000*'Sheet 1'!G35,'Sheet 1'!Q2)</f>
        <v>0.27822153197266747</v>
      </c>
      <c r="B1" s="7"/>
      <c r="C1" s="8"/>
      <c r="D1" s="8"/>
      <c r="E1" s="8"/>
      <c r="F1" s="8"/>
      <c r="G1" s="9" t="s">
        <v>33</v>
      </c>
      <c r="H1" s="8"/>
      <c r="I1" s="8"/>
      <c r="J1" s="8"/>
      <c r="K1" s="8"/>
      <c r="L1" s="7"/>
      <c r="M1" s="8"/>
      <c r="N1" s="8"/>
      <c r="O1" s="8"/>
      <c r="P1" s="10"/>
      <c r="Q1" s="6" t="s">
        <v>31</v>
      </c>
      <c r="R1" s="7"/>
    </row>
    <row r="2" spans="1:18" ht="12.75">
      <c r="A2" s="1">
        <f>IF('Sheet 1'!P10&gt;0,1000000*'Sheet 1'!G36,'Sheet 1'!Q3)</f>
        <v>0.8161820952913507</v>
      </c>
      <c r="B2" s="7"/>
      <c r="C2" s="8"/>
      <c r="D2" s="8"/>
      <c r="E2" s="8"/>
      <c r="F2" s="8"/>
      <c r="G2" s="11"/>
      <c r="H2" s="8"/>
      <c r="I2" s="8"/>
      <c r="J2" s="8"/>
      <c r="K2" s="8"/>
      <c r="L2" s="7"/>
      <c r="M2" s="11">
        <f>Calculator!C9</f>
        <v>30</v>
      </c>
      <c r="N2" s="8">
        <f>M2-N4-(M21*(M6+M8+1)/1000)</f>
        <v>22.4</v>
      </c>
      <c r="O2" s="8">
        <f>IF(M2-N4&gt;0,(M2-N4)/N5,0)</f>
        <v>10</v>
      </c>
      <c r="P2" s="8">
        <f>(Calculator!C26/1.25)*0.115/M6</f>
        <v>0.38333333333333336</v>
      </c>
      <c r="Q2" s="4" t="s">
        <v>32</v>
      </c>
      <c r="R2" s="7"/>
    </row>
    <row r="3" spans="1:18" ht="12.75">
      <c r="A3" s="1">
        <f>IF('Sheet 1'!P10&gt;0,'Sheet 1'!G37,'Sheet 1'!Q4)</f>
        <v>0.25422204846690283</v>
      </c>
      <c r="B3" s="7"/>
      <c r="C3" s="8">
        <f>EXP(-'Sheet 1'!N5*(G3+G10)/'Sheet 1'!M7)-EXP(-'Sheet 1'!N5*G3/'Sheet 1'!M7)</f>
        <v>-0.01315050643243143</v>
      </c>
      <c r="D3" s="8">
        <f>C3/G10</f>
        <v>-0.047266314505533445</v>
      </c>
      <c r="E3" s="8">
        <f>1+('Sheet 1'!M7/'Sheet 1'!N5)*D3</f>
        <v>0.0341231383651861</v>
      </c>
      <c r="F3" s="8"/>
      <c r="G3" s="12">
        <f>IF('Sheet 1'!P10&gt;0,('Sheet 1'!M7/'Sheet 1'!N5)*LN('Sheet 1'!O2/('Sheet 1'!O2-('Sheet 1'!G42/1000))),0)</f>
        <v>0.5705207590178537</v>
      </c>
      <c r="H3" s="8">
        <f>IF('Sheet 1'!P10&gt;0,'Sheet 1'!O2*1000*(1-EXP(-'Sheet 1'!N5*G3/'Sheet 1'!M7)),'Sheet 1'!O2)</f>
        <v>275.32964744163223</v>
      </c>
      <c r="I3" s="8">
        <f>IF('Sheet 1'!P10&gt;0,1000*'Sheet 1'!O2*E3,'Sheet 1'!O2)</f>
        <v>341.231383651861</v>
      </c>
      <c r="J3" s="8"/>
      <c r="K3" s="8"/>
      <c r="L3" s="7"/>
      <c r="M3" s="8">
        <f>Calculator!C10</f>
        <v>2</v>
      </c>
      <c r="N3" s="8">
        <f>N4+M5+(M21*(M6+M8)/1000)</f>
        <v>7.566666666666666</v>
      </c>
      <c r="O3" s="8">
        <f>(1000*O2-M19)/(1000*O2-M18)</f>
        <v>1.0103986135181975</v>
      </c>
      <c r="P3" s="8">
        <f>(Calculator!C26/1.25)*0.085/M6</f>
        <v>0.2833333333333334</v>
      </c>
      <c r="Q3" s="5">
        <v>0</v>
      </c>
      <c r="R3" s="7"/>
    </row>
    <row r="4" spans="1:18" ht="12.75">
      <c r="A4" s="2">
        <f>IF('Sheet 1'!P10&gt;0,'Sheet 1'!G38/1000000,'Sheet 1'!Q3)</f>
        <v>913.7396615725546</v>
      </c>
      <c r="B4" s="7"/>
      <c r="C4" s="8"/>
      <c r="D4" s="8"/>
      <c r="E4" s="8"/>
      <c r="F4" s="8"/>
      <c r="G4" s="3" t="s">
        <v>6</v>
      </c>
      <c r="H4" s="10" t="s">
        <v>7</v>
      </c>
      <c r="I4" s="10" t="s">
        <v>5</v>
      </c>
      <c r="J4" s="10" t="s">
        <v>25</v>
      </c>
      <c r="K4" s="10" t="s">
        <v>26</v>
      </c>
      <c r="L4" s="7"/>
      <c r="M4" s="8">
        <f>Calculator!C11</f>
        <v>3.5</v>
      </c>
      <c r="N4" s="8">
        <f>M3*M4</f>
        <v>7</v>
      </c>
      <c r="O4" s="8">
        <f>0.000001*(M7/N5)*LN(O3)+'Sheet 1'!I38+(0.000001*N10)</f>
        <v>2.782215319726675E-07</v>
      </c>
      <c r="P4" s="8"/>
      <c r="Q4" s="6">
        <v>1</v>
      </c>
      <c r="R4" s="7"/>
    </row>
    <row r="5" spans="1:18" ht="12.75">
      <c r="A5" s="3">
        <f>IF('Sheet 1'!P10&gt;0,'Sheet 1'!G41,'Sheet 1'!O2)</f>
        <v>406.83471176594867</v>
      </c>
      <c r="B5" s="7"/>
      <c r="C5" s="8" t="s">
        <v>42</v>
      </c>
      <c r="D5" s="8"/>
      <c r="E5" s="8"/>
      <c r="F5" s="8"/>
      <c r="G5" s="1">
        <v>0</v>
      </c>
      <c r="H5" s="13">
        <f>'Sheet 1'!G42</f>
        <v>275.3296474416316</v>
      </c>
      <c r="I5" s="3">
        <f>F7</f>
        <v>341.00657064694855</v>
      </c>
      <c r="J5" s="10">
        <f>'Sheet 1'!H42</f>
        <v>283.33333333333337</v>
      </c>
      <c r="K5" s="10">
        <f>'Sheet 1'!H41</f>
        <v>383.33333333333337</v>
      </c>
      <c r="L5" s="7"/>
      <c r="M5" s="8">
        <f>Calculator!C12</f>
        <v>0.3</v>
      </c>
      <c r="N5" s="11">
        <f>M6+M8+Calculator!C24</f>
        <v>2.3</v>
      </c>
      <c r="O5" s="8">
        <f>M18/M19</f>
        <v>1.352941176470588</v>
      </c>
      <c r="P5" s="8">
        <f>LN(O5)</f>
        <v>0.3022808718729335</v>
      </c>
      <c r="Q5" s="8"/>
      <c r="R5" s="7"/>
    </row>
    <row r="6" spans="1:18" ht="12.75">
      <c r="A6" s="3">
        <f>IF('Sheet 1'!P10&gt;0,'Sheet 1'!G42,'Sheet 1'!O2)</f>
        <v>275.3296474416316</v>
      </c>
      <c r="B6" s="7"/>
      <c r="C6" s="8"/>
      <c r="D6" s="8"/>
      <c r="E6" s="8"/>
      <c r="F6" s="8"/>
      <c r="G6" s="1">
        <f>G10/5</f>
        <v>0.055644306394533494</v>
      </c>
      <c r="H6" s="10">
        <f>IF('Sheet 1'!P10&gt;0,'Sheet 1'!O2*1000*(1-EXP(-'Sheet 1'!N5*(G3+G6)/'Sheet 1'!M7)),'Sheet 1'!G42)</f>
        <v>301.77409129782285</v>
      </c>
      <c r="I6" s="3">
        <f>I7</f>
        <v>341.00657064694855</v>
      </c>
      <c r="J6" s="10">
        <f>'Sheet 1'!H42</f>
        <v>283.33333333333337</v>
      </c>
      <c r="K6" s="10">
        <f>'Sheet 1'!H41</f>
        <v>383.33333333333337</v>
      </c>
      <c r="L6" s="7"/>
      <c r="M6" s="8">
        <f>Calculator!C13</f>
        <v>0.3</v>
      </c>
      <c r="N6" s="8"/>
      <c r="O6" s="8">
        <f>M6+M8</f>
        <v>0.8</v>
      </c>
      <c r="P6" s="8"/>
      <c r="Q6" s="8"/>
      <c r="R6" s="7"/>
    </row>
    <row r="7" spans="1:18" ht="12.75">
      <c r="A7" s="3">
        <f>A5-A6</f>
        <v>131.50506432431706</v>
      </c>
      <c r="B7" s="7"/>
      <c r="C7" s="8">
        <f>'Sheet 1'!G41/1000+'Sheet 1'!P13</f>
        <v>9.53183471176595</v>
      </c>
      <c r="D7" s="8">
        <f>'Sheet 1'!M7*(1-EXP(-'Sheet 1'!P8*'Sheet 1'!A2/'Sheet 1'!M7))/'Sheet 1'!A2</f>
        <v>0.7944686597911991</v>
      </c>
      <c r="E7" s="8">
        <f>IF('Sheet 1'!P10&gt;0,1000*(-'Sheet 1'!N4-'Sheet 1'!M5+(D7*C7))/'Sheet 1'!P8,'Sheet 1'!O2)</f>
        <v>340.92993600990496</v>
      </c>
      <c r="F7" s="8">
        <f>'Sheet 1'!A3*I3+(1-'Sheet 1'!A3)*E7</f>
        <v>341.00657064694855</v>
      </c>
      <c r="G7" s="1">
        <f>2*G10/5</f>
        <v>0.11128861278906699</v>
      </c>
      <c r="H7" s="10">
        <f>IF('Sheet 1'!P10&gt;0,'Sheet 1'!O2*1000*(1-EXP(-'Sheet 1'!N5*(G3+G7)/'Sheet 1'!M7)),'Sheet 1'!G42)</f>
        <v>328.1466243760134</v>
      </c>
      <c r="I7" s="3">
        <f>I5</f>
        <v>341.00657064694855</v>
      </c>
      <c r="J7" s="10">
        <f>'Sheet 1'!H42</f>
        <v>283.33333333333337</v>
      </c>
      <c r="K7" s="10">
        <f>'Sheet 1'!H41</f>
        <v>383.33333333333337</v>
      </c>
      <c r="L7" s="7"/>
      <c r="M7" s="11">
        <f>Calculator!C14</f>
        <v>47</v>
      </c>
      <c r="N7" s="8"/>
      <c r="O7" s="8">
        <f>0.000001*(M7/O6)*LN(('Sheet 1'!G41/1000+P13)/(N19+P13))+(0.000001*N11)</f>
        <v>8.161820952913506E-07</v>
      </c>
      <c r="P7" s="8">
        <f>O2*P6-P2</f>
        <v>-0.38333333333333336</v>
      </c>
      <c r="Q7" s="8"/>
      <c r="R7" s="7"/>
    </row>
    <row r="8" spans="1:18" ht="12.75">
      <c r="A8" s="3">
        <f>IF('Sheet 1'!P10&gt;0,'Sheet 1'!F7,'Sheet 1'!O2)</f>
        <v>341.00657064694855</v>
      </c>
      <c r="B8" s="7"/>
      <c r="C8" s="8"/>
      <c r="D8" s="8"/>
      <c r="E8" s="8"/>
      <c r="F8" s="8"/>
      <c r="G8" s="1">
        <f>3*G10/5</f>
        <v>0.16693291918360048</v>
      </c>
      <c r="H8" s="10">
        <f>IF('Sheet 1'!P10&gt;0,'Sheet 1'!O2*1000*(1-EXP(-'Sheet 1'!N5*(G3+G8)/'Sheet 1'!M7)),'Sheet 1'!G42)</f>
        <v>354.4474422242727</v>
      </c>
      <c r="I8" s="3">
        <f>I5</f>
        <v>341.00657064694855</v>
      </c>
      <c r="J8" s="10">
        <f>'Sheet 1'!H42</f>
        <v>283.33333333333337</v>
      </c>
      <c r="K8" s="10">
        <f>'Sheet 1'!H41</f>
        <v>383.33333333333337</v>
      </c>
      <c r="L8" s="7"/>
      <c r="M8" s="8">
        <f>Calculator!C15</f>
        <v>0.5</v>
      </c>
      <c r="N8" s="8"/>
      <c r="O8" s="8"/>
      <c r="P8" s="8">
        <f>M6+M8</f>
        <v>0.8</v>
      </c>
      <c r="Q8" s="8"/>
      <c r="R8" s="7"/>
    </row>
    <row r="9" spans="1:18" ht="12.75">
      <c r="A9" s="3"/>
      <c r="B9" s="7"/>
      <c r="C9" s="8"/>
      <c r="D9" s="8"/>
      <c r="E9" s="14"/>
      <c r="F9" s="8"/>
      <c r="G9" s="1">
        <f>4*G10/5</f>
        <v>0.22257722557813397</v>
      </c>
      <c r="H9" s="10">
        <f>IF('Sheet 1'!P10&gt;0,'Sheet 1'!O2*1000*(1-EXP(-'Sheet 1'!N5*(G3+G9)/'Sheet 1'!M7)),'Sheet 1'!G42)</f>
        <v>380.67673985891616</v>
      </c>
      <c r="I9" s="3">
        <f>I5</f>
        <v>341.00657064694855</v>
      </c>
      <c r="J9" s="10">
        <f>'Sheet 1'!H42</f>
        <v>283.33333333333337</v>
      </c>
      <c r="K9" s="10">
        <f>'Sheet 1'!H41</f>
        <v>383.33333333333337</v>
      </c>
      <c r="L9" s="7"/>
      <c r="M9" s="11">
        <f>Calculator!C19</f>
        <v>25</v>
      </c>
      <c r="N9" s="8"/>
      <c r="O9" s="8"/>
      <c r="P9" s="8"/>
      <c r="Q9" s="8"/>
      <c r="R9" s="7"/>
    </row>
    <row r="10" spans="1:18" ht="12.75">
      <c r="A10" s="3">
        <f>A8*'Sheet 1'!N4/1000</f>
        <v>2.38704599452864</v>
      </c>
      <c r="B10" s="7"/>
      <c r="C10" s="8"/>
      <c r="D10" s="8"/>
      <c r="E10" s="14"/>
      <c r="F10" s="8"/>
      <c r="G10" s="1">
        <f>IF('Sheet 1'!P10&gt;0,'Sheet 1'!A1,1)</f>
        <v>0.27822153197266747</v>
      </c>
      <c r="H10" s="13">
        <f>IF('Sheet 1'!P10&gt;0,'Sheet 1'!G41,'Sheet 1'!G42)</f>
        <v>406.83471176594867</v>
      </c>
      <c r="I10" s="3">
        <f>I5</f>
        <v>341.00657064694855</v>
      </c>
      <c r="J10" s="10">
        <f>'Sheet 1'!H42</f>
        <v>283.33333333333337</v>
      </c>
      <c r="K10" s="10">
        <f>'Sheet 1'!H41</f>
        <v>383.33333333333337</v>
      </c>
      <c r="L10" s="7"/>
      <c r="M10" s="11">
        <f>Calculator!C20</f>
        <v>50</v>
      </c>
      <c r="N10" s="8">
        <f>M10/1000</f>
        <v>0.05</v>
      </c>
      <c r="O10" s="8"/>
      <c r="P10" s="8">
        <f>O2-P2</f>
        <v>9.616666666666667</v>
      </c>
      <c r="Q10" s="8"/>
      <c r="R10" s="7"/>
    </row>
    <row r="11" spans="1:18" ht="12.75">
      <c r="A11" s="3">
        <f>A3*A8*A8*Calculator!C24/1000</f>
        <v>44.343499865736874</v>
      </c>
      <c r="B11" s="7"/>
      <c r="C11" s="8"/>
      <c r="D11" s="8"/>
      <c r="E11" s="14"/>
      <c r="F11" s="8"/>
      <c r="G11" s="1">
        <f>G10+(G15-G10)/5</f>
        <v>0.44145795103093755</v>
      </c>
      <c r="H11" s="10">
        <f>IF('Sheet 1'!P10&gt;0,-'Sheet 1'!P13*1000*(1-EXP(-'Sheet 1'!P8*(G11-G10)/'Sheet 1'!M7))+'Sheet 1'!G41*EXP(-'Sheet 1'!P8*(G11-G10)/'Sheet 1'!M7),'Sheet 1'!G42)</f>
        <v>380.38734191357145</v>
      </c>
      <c r="I11" s="3">
        <f>I5</f>
        <v>341.00657064694855</v>
      </c>
      <c r="J11" s="10">
        <f>'Sheet 1'!H42</f>
        <v>283.33333333333337</v>
      </c>
      <c r="K11" s="10">
        <f>'Sheet 1'!H41</f>
        <v>383.33333333333337</v>
      </c>
      <c r="L11" s="7"/>
      <c r="M11" s="11">
        <f>Calculator!C21</f>
        <v>50</v>
      </c>
      <c r="N11" s="8">
        <f>M11/1000</f>
        <v>0.05</v>
      </c>
      <c r="O11" s="8"/>
      <c r="P11" s="8">
        <f>IF(OR(P10&lt;0,O2&lt;0),O2,P10)</f>
        <v>9.616666666666667</v>
      </c>
      <c r="Q11" s="8"/>
      <c r="R11" s="7"/>
    </row>
    <row r="12" spans="1:18" ht="12.75">
      <c r="A12" s="3">
        <f>IF('Sheet 1'!P10&gt;0,'Sheet 1'!G49,0)</f>
        <v>125.39137333538415</v>
      </c>
      <c r="B12" s="7"/>
      <c r="C12" s="8"/>
      <c r="D12" s="8"/>
      <c r="E12" s="8"/>
      <c r="F12" s="8"/>
      <c r="G12" s="1">
        <f>G10+2*(G15-G10)/5</f>
        <v>0.6046943700892077</v>
      </c>
      <c r="H12" s="10">
        <f>IF('Sheet 1'!P10&gt;0,-'Sheet 1'!P13*1000*(1-EXP(-'Sheet 1'!P8*(G12-G10)/'Sheet 1'!M7))+'Sheet 1'!G41*EXP(-'Sheet 1'!P8*(G12-G10)/'Sheet 1'!M7),'Sheet 1'!G42)</f>
        <v>354.01335388046164</v>
      </c>
      <c r="I12" s="3">
        <f>I5</f>
        <v>341.00657064694855</v>
      </c>
      <c r="J12" s="10">
        <f>'Sheet 1'!H42</f>
        <v>283.33333333333337</v>
      </c>
      <c r="K12" s="10">
        <f>'Sheet 1'!H41</f>
        <v>383.33333333333337</v>
      </c>
      <c r="L12" s="7"/>
      <c r="M12" s="8">
        <f>0.05+(M20*M7)/(N2*1000)</f>
        <v>0.2598214285714286</v>
      </c>
      <c r="N12" s="8"/>
      <c r="O12" s="8"/>
      <c r="P12" s="8"/>
      <c r="Q12" s="8"/>
      <c r="R12" s="7"/>
    </row>
    <row r="13" spans="1:18" ht="12.75">
      <c r="A13" s="3"/>
      <c r="B13" s="7"/>
      <c r="C13" s="8"/>
      <c r="D13" s="8"/>
      <c r="E13" s="14"/>
      <c r="F13" s="8"/>
      <c r="G13" s="1">
        <f>G10+3*(G15-G10)/5</f>
        <v>0.7679307891474778</v>
      </c>
      <c r="H13" s="10">
        <f>IF('Sheet 1'!P10&gt;0,-'Sheet 1'!P13*1000*(1-EXP(-'Sheet 1'!P8*(G13-G10)/'Sheet 1'!M7))+'Sheet 1'!G41*EXP(-'Sheet 1'!P8*(G13-G10)/'Sheet 1'!M7),'Sheet 1'!G42)</f>
        <v>327.7125440587979</v>
      </c>
      <c r="I13" s="3">
        <f>I5</f>
        <v>341.00657064694855</v>
      </c>
      <c r="J13" s="10">
        <f>'Sheet 1'!H42</f>
        <v>283.33333333333337</v>
      </c>
      <c r="K13" s="10">
        <f>'Sheet 1'!H41</f>
        <v>383.33333333333337</v>
      </c>
      <c r="L13" s="7"/>
      <c r="M13" s="8">
        <f>0.05+(M20*M7)/(N3*1000)</f>
        <v>0.6711453744493393</v>
      </c>
      <c r="N13" s="8"/>
      <c r="O13" s="8"/>
      <c r="P13" s="8">
        <f>(N4+M5)/P8</f>
        <v>9.125</v>
      </c>
      <c r="Q13" s="8"/>
      <c r="R13" s="7"/>
    </row>
    <row r="14" spans="1:18" ht="12.75">
      <c r="A14" s="3">
        <f>A8*A8*Calculator!C15/1000</f>
        <v>58.14274061219616</v>
      </c>
      <c r="B14" s="7"/>
      <c r="C14" s="8"/>
      <c r="D14" s="8"/>
      <c r="E14" s="8"/>
      <c r="F14" s="8"/>
      <c r="G14" s="1">
        <f>G10+4*(G15-G10)/5</f>
        <v>0.9311672082057478</v>
      </c>
      <c r="H14" s="10">
        <f>IF('Sheet 1'!P10&gt;0,-'Sheet 1'!P13*1000*(1-EXP(-'Sheet 1'!P8*(G14-G10)/'Sheet 1'!M7))+'Sheet 1'!G41*EXP(-'Sheet 1'!P8*(G14-G10)/'Sheet 1'!M7),'Sheet 1'!G42)</f>
        <v>301.4847094056919</v>
      </c>
      <c r="I14" s="3">
        <f>I5</f>
        <v>341.00657064694855</v>
      </c>
      <c r="J14" s="10">
        <f>'Sheet 1'!H42</f>
        <v>283.33333333333337</v>
      </c>
      <c r="K14" s="10">
        <f>'Sheet 1'!H41</f>
        <v>383.33333333333337</v>
      </c>
      <c r="L14" s="7"/>
      <c r="M14" s="8">
        <f>M12/(M12+M13)</f>
        <v>0.2790877480575777</v>
      </c>
      <c r="N14" s="8"/>
      <c r="O14" s="8"/>
      <c r="P14" s="8"/>
      <c r="Q14" s="8"/>
      <c r="R14" s="7"/>
    </row>
    <row r="15" spans="1:18" ht="12.75">
      <c r="A15" s="7"/>
      <c r="B15" s="7"/>
      <c r="C15" s="8"/>
      <c r="D15" s="8"/>
      <c r="E15" s="8"/>
      <c r="F15" s="8"/>
      <c r="G15" s="1">
        <f>IF('Sheet 1'!P10&gt;0,'Sheet 1'!A1+'Sheet 1'!A2,2)</f>
        <v>1.094403627264018</v>
      </c>
      <c r="H15" s="13">
        <f>'Sheet 1'!G42</f>
        <v>275.3296474416316</v>
      </c>
      <c r="I15" s="3">
        <f>I5</f>
        <v>341.00657064694855</v>
      </c>
      <c r="J15" s="10">
        <f>'Sheet 1'!H42</f>
        <v>283.33333333333337</v>
      </c>
      <c r="K15" s="10">
        <f>'Sheet 1'!H41</f>
        <v>383.33333333333337</v>
      </c>
      <c r="L15" s="7"/>
      <c r="M15" s="8">
        <f>1000/(M12+M13)</f>
        <v>1074.1521574724638</v>
      </c>
      <c r="N15" s="8"/>
      <c r="O15" s="8"/>
      <c r="P15" s="8"/>
      <c r="Q15" s="8"/>
      <c r="R15" s="7"/>
    </row>
    <row r="16" spans="1:18" ht="12.75">
      <c r="A16" s="7"/>
      <c r="B16" s="7"/>
      <c r="C16" s="8"/>
      <c r="D16" s="8"/>
      <c r="E16" s="8"/>
      <c r="F16" s="8"/>
      <c r="G16" s="1">
        <f>G15+(G20-G15)/5</f>
        <v>1.1500479336585516</v>
      </c>
      <c r="H16" s="10">
        <f>H6</f>
        <v>301.77409129782285</v>
      </c>
      <c r="I16" s="3">
        <f>I5</f>
        <v>341.00657064694855</v>
      </c>
      <c r="J16" s="10">
        <f>'Sheet 1'!H42</f>
        <v>283.33333333333337</v>
      </c>
      <c r="K16" s="10">
        <f>'Sheet 1'!H41</f>
        <v>383.33333333333337</v>
      </c>
      <c r="L16" s="7"/>
      <c r="M16" s="8"/>
      <c r="N16" s="8"/>
      <c r="O16" s="8"/>
      <c r="P16" s="8"/>
      <c r="Q16" s="8"/>
      <c r="R16" s="7"/>
    </row>
    <row r="17" spans="1:18" ht="12.75">
      <c r="A17" s="7"/>
      <c r="B17" s="7"/>
      <c r="C17" s="8"/>
      <c r="D17" s="8"/>
      <c r="E17" s="8"/>
      <c r="F17" s="8"/>
      <c r="G17" s="1">
        <f>G15+2*(G20-G15)/5</f>
        <v>1.2056922400530852</v>
      </c>
      <c r="H17" s="10">
        <f>H7</f>
        <v>328.1466243760134</v>
      </c>
      <c r="I17" s="3">
        <f>I5</f>
        <v>341.00657064694855</v>
      </c>
      <c r="J17" s="10">
        <f>'Sheet 1'!H42</f>
        <v>283.33333333333337</v>
      </c>
      <c r="K17" s="10">
        <f>'Sheet 1'!H41</f>
        <v>383.33333333333337</v>
      </c>
      <c r="L17" s="7"/>
      <c r="M17" s="8"/>
      <c r="N17" s="8"/>
      <c r="O17" s="8"/>
      <c r="P17" s="8"/>
      <c r="Q17" s="8"/>
      <c r="R17" s="7"/>
    </row>
    <row r="18" spans="1:18" ht="12.75">
      <c r="A18" s="7"/>
      <c r="B18" s="7"/>
      <c r="C18" s="8"/>
      <c r="D18" s="8"/>
      <c r="E18" s="8"/>
      <c r="F18" s="8"/>
      <c r="G18" s="1">
        <f>G15+3*(G20-G15)/5</f>
        <v>1.2613365464476185</v>
      </c>
      <c r="H18" s="10">
        <f>H8</f>
        <v>354.4474422242727</v>
      </c>
      <c r="I18" s="3">
        <f>I5</f>
        <v>341.00657064694855</v>
      </c>
      <c r="J18" s="10">
        <f>'Sheet 1'!H42</f>
        <v>283.33333333333337</v>
      </c>
      <c r="K18" s="10">
        <f>'Sheet 1'!H41</f>
        <v>383.33333333333337</v>
      </c>
      <c r="L18" s="7"/>
      <c r="M18" s="8">
        <f>(Calculator!C26/1.25)*115/M6</f>
        <v>383.33333333333337</v>
      </c>
      <c r="N18" s="8">
        <f>M18/1000</f>
        <v>0.38333333333333336</v>
      </c>
      <c r="O18" s="8"/>
      <c r="P18" s="8"/>
      <c r="Q18" s="8"/>
      <c r="R18" s="7"/>
    </row>
    <row r="19" spans="1:18" ht="12.75">
      <c r="A19" s="7"/>
      <c r="B19" s="7"/>
      <c r="C19" s="8"/>
      <c r="D19" s="8"/>
      <c r="E19" s="8"/>
      <c r="F19" s="8"/>
      <c r="G19" s="1">
        <f>G15+4*(G20-G15)/5</f>
        <v>1.316980852842152</v>
      </c>
      <c r="H19" s="10">
        <f>H9</f>
        <v>380.67673985891616</v>
      </c>
      <c r="I19" s="3">
        <f>I5</f>
        <v>341.00657064694855</v>
      </c>
      <c r="J19" s="10">
        <f>'Sheet 1'!H42</f>
        <v>283.33333333333337</v>
      </c>
      <c r="K19" s="10">
        <f>'Sheet 1'!H41</f>
        <v>383.33333333333337</v>
      </c>
      <c r="L19" s="7"/>
      <c r="M19" s="8">
        <f>(Calculator!C26/1.25)*85/M6</f>
        <v>283.33333333333337</v>
      </c>
      <c r="N19" s="8">
        <f>M19/1000</f>
        <v>0.2833333333333334</v>
      </c>
      <c r="O19" s="8"/>
      <c r="P19" s="8"/>
      <c r="Q19" s="8"/>
      <c r="R19" s="7"/>
    </row>
    <row r="20" spans="1:18" ht="12.75">
      <c r="A20" s="7"/>
      <c r="B20" s="7"/>
      <c r="C20" s="8"/>
      <c r="D20" s="8"/>
      <c r="E20" s="8"/>
      <c r="F20" s="8"/>
      <c r="G20" s="1">
        <f>IF('Sheet 1'!P10&gt;0,G15+'Sheet 1'!A1,3)</f>
        <v>1.3726251592366856</v>
      </c>
      <c r="H20" s="13">
        <f>IF('Sheet 1'!P10&gt;0,'Sheet 1'!G41,'Sheet 1'!G42)</f>
        <v>406.83471176594867</v>
      </c>
      <c r="I20" s="3">
        <f>I5</f>
        <v>341.00657064694855</v>
      </c>
      <c r="J20" s="10">
        <f>'Sheet 1'!H42</f>
        <v>283.33333333333337</v>
      </c>
      <c r="K20" s="10">
        <f>'Sheet 1'!H41</f>
        <v>383.33333333333337</v>
      </c>
      <c r="L20" s="7"/>
      <c r="M20" s="8">
        <f>M18-M19</f>
        <v>100</v>
      </c>
      <c r="N20" s="8"/>
      <c r="O20" s="8"/>
      <c r="P20" s="8"/>
      <c r="Q20" s="8"/>
      <c r="R20" s="7"/>
    </row>
    <row r="21" spans="1:18" ht="12.75">
      <c r="A21" s="7"/>
      <c r="B21" s="7"/>
      <c r="C21" s="8"/>
      <c r="D21" s="8"/>
      <c r="E21" s="8"/>
      <c r="F21" s="8"/>
      <c r="G21" s="1">
        <f>G20+(G25-G20)/5</f>
        <v>1.5358615782949556</v>
      </c>
      <c r="H21" s="10">
        <f>H11</f>
        <v>380.38734191357145</v>
      </c>
      <c r="I21" s="3">
        <f>I5</f>
        <v>341.00657064694855</v>
      </c>
      <c r="J21" s="10">
        <f>'Sheet 1'!H42</f>
        <v>283.33333333333337</v>
      </c>
      <c r="K21" s="10">
        <f>'Sheet 1'!H41</f>
        <v>383.33333333333337</v>
      </c>
      <c r="L21" s="7"/>
      <c r="M21" s="8">
        <f>(M18+M19)/2</f>
        <v>333.33333333333337</v>
      </c>
      <c r="N21" s="8"/>
      <c r="O21" s="8"/>
      <c r="P21" s="8"/>
      <c r="Q21" s="8"/>
      <c r="R21" s="7"/>
    </row>
    <row r="22" spans="1:18" ht="12.75">
      <c r="A22" s="7"/>
      <c r="B22" s="7"/>
      <c r="C22" s="8"/>
      <c r="D22" s="8"/>
      <c r="E22" s="8"/>
      <c r="F22" s="8"/>
      <c r="G22" s="1">
        <f>G20+2*(G25-G20)/5</f>
        <v>1.6990979973532259</v>
      </c>
      <c r="H22" s="10">
        <f>H12</f>
        <v>354.01335388046164</v>
      </c>
      <c r="I22" s="3">
        <f>I5</f>
        <v>341.00657064694855</v>
      </c>
      <c r="J22" s="10">
        <f>'Sheet 1'!H42</f>
        <v>283.33333333333337</v>
      </c>
      <c r="K22" s="10">
        <f>'Sheet 1'!H41</f>
        <v>383.33333333333337</v>
      </c>
      <c r="L22" s="7"/>
      <c r="M22" s="8"/>
      <c r="N22" s="8"/>
      <c r="O22" s="8"/>
      <c r="P22" s="8"/>
      <c r="Q22" s="8"/>
      <c r="R22" s="7"/>
    </row>
    <row r="23" spans="1:18" ht="12.75">
      <c r="A23" s="7"/>
      <c r="B23" s="7"/>
      <c r="C23" s="8"/>
      <c r="D23" s="8"/>
      <c r="E23" s="8"/>
      <c r="F23" s="8"/>
      <c r="G23" s="1">
        <f>G20+3*(G25-G20)/5</f>
        <v>1.862334416411496</v>
      </c>
      <c r="H23" s="10">
        <f>H13</f>
        <v>327.7125440587979</v>
      </c>
      <c r="I23" s="3">
        <f>I5</f>
        <v>341.00657064694855</v>
      </c>
      <c r="J23" s="10">
        <f>'Sheet 1'!H42</f>
        <v>283.33333333333337</v>
      </c>
      <c r="K23" s="10">
        <f>'Sheet 1'!H41</f>
        <v>383.33333333333337</v>
      </c>
      <c r="L23" s="7"/>
      <c r="M23" s="8">
        <f>M21*M3*M4</f>
        <v>2333.3333333333335</v>
      </c>
      <c r="N23" s="8"/>
      <c r="O23" s="8"/>
      <c r="P23" s="8"/>
      <c r="Q23" s="8"/>
      <c r="R23" s="7"/>
    </row>
    <row r="24" spans="1:18" ht="12.75">
      <c r="A24" s="7"/>
      <c r="B24" s="7"/>
      <c r="C24" s="8"/>
      <c r="D24" s="8"/>
      <c r="E24" s="8"/>
      <c r="F24" s="8"/>
      <c r="G24" s="1">
        <f>G20+4*(G25-G20)/5</f>
        <v>2.025570835469766</v>
      </c>
      <c r="H24" s="10">
        <f>H14</f>
        <v>301.4847094056919</v>
      </c>
      <c r="I24" s="3">
        <f>I5</f>
        <v>341.00657064694855</v>
      </c>
      <c r="J24" s="10">
        <f>'Sheet 1'!H42</f>
        <v>283.33333333333337</v>
      </c>
      <c r="K24" s="10">
        <f>'Sheet 1'!H41</f>
        <v>383.33333333333337</v>
      </c>
      <c r="L24" s="7"/>
      <c r="M24" s="8">
        <f>1*(2.5*M2+250)</f>
        <v>325</v>
      </c>
      <c r="N24" s="8"/>
      <c r="O24" s="8"/>
      <c r="P24" s="8"/>
      <c r="Q24" s="8"/>
      <c r="R24" s="7"/>
    </row>
    <row r="25" spans="1:18" ht="12.75">
      <c r="A25" s="7"/>
      <c r="B25" s="7"/>
      <c r="C25" s="8"/>
      <c r="D25" s="8"/>
      <c r="E25" s="8"/>
      <c r="F25" s="8"/>
      <c r="G25" s="1">
        <f>IF('Sheet 1'!P10&gt;0,2*G15,4)</f>
        <v>2.188807254528036</v>
      </c>
      <c r="H25" s="13">
        <f>'Sheet 1'!G42</f>
        <v>275.3296474416316</v>
      </c>
      <c r="I25" s="3">
        <f>I5</f>
        <v>341.00657064694855</v>
      </c>
      <c r="J25" s="10">
        <f>'Sheet 1'!H42</f>
        <v>283.33333333333337</v>
      </c>
      <c r="K25" s="10">
        <f>'Sheet 1'!H41</f>
        <v>383.33333333333337</v>
      </c>
      <c r="L25" s="7"/>
      <c r="M25" s="8">
        <f>M14*M21*M21*Calculator!C24/1000</f>
        <v>46.51462467626296</v>
      </c>
      <c r="N25" s="8"/>
      <c r="O25" s="8"/>
      <c r="P25" s="8"/>
      <c r="Q25" s="8"/>
      <c r="R25" s="7"/>
    </row>
    <row r="26" spans="1:18" ht="12.75">
      <c r="A26" s="7"/>
      <c r="B26" s="7"/>
      <c r="C26" s="7"/>
      <c r="D26" s="7"/>
      <c r="E26" s="7"/>
      <c r="F26" s="7"/>
      <c r="G26" s="7"/>
      <c r="H26" s="7"/>
      <c r="I26" s="7"/>
      <c r="J26" s="7"/>
      <c r="K26" s="7"/>
      <c r="L26" s="7"/>
      <c r="M26" s="8">
        <f>M21*(M2-(M3*M4))*0.045/(M12+M13)</f>
        <v>370.58249432800005</v>
      </c>
      <c r="N26" s="8"/>
      <c r="O26" s="8"/>
      <c r="P26" s="8"/>
      <c r="Q26" s="8"/>
      <c r="R26" s="7"/>
    </row>
    <row r="27" spans="1:18" ht="12.75">
      <c r="A27" s="7"/>
      <c r="B27" s="7"/>
      <c r="C27" s="7"/>
      <c r="D27" s="7"/>
      <c r="E27" s="7"/>
      <c r="F27" s="7"/>
      <c r="G27" s="7"/>
      <c r="H27" s="7"/>
      <c r="I27" s="7"/>
      <c r="J27" s="7"/>
      <c r="K27" s="7"/>
      <c r="L27" s="7"/>
      <c r="M27" s="8">
        <f>M2*M24/1000+M25+M26</f>
        <v>426.847119004263</v>
      </c>
      <c r="N27" s="8"/>
      <c r="O27" s="8"/>
      <c r="P27" s="8"/>
      <c r="Q27" s="8"/>
      <c r="R27" s="7"/>
    </row>
    <row r="28" spans="1:18" ht="12.75">
      <c r="A28" s="7"/>
      <c r="B28" s="7"/>
      <c r="C28" s="7"/>
      <c r="D28" s="7"/>
      <c r="E28" s="7"/>
      <c r="F28" s="7"/>
      <c r="G28" s="7"/>
      <c r="H28" s="7"/>
      <c r="I28" s="7"/>
      <c r="J28" s="7"/>
      <c r="K28" s="7"/>
      <c r="L28" s="7"/>
      <c r="M28" s="8">
        <f>(1-M14)*M21*M5</f>
        <v>72.09122519424223</v>
      </c>
      <c r="N28" s="8"/>
      <c r="O28" s="8"/>
      <c r="P28" s="8"/>
      <c r="Q28" s="8"/>
      <c r="R28" s="7"/>
    </row>
    <row r="29" spans="1:18" ht="12.75">
      <c r="A29" s="7"/>
      <c r="B29" s="7"/>
      <c r="C29" s="7"/>
      <c r="D29" s="7"/>
      <c r="E29" s="7"/>
      <c r="F29" s="7"/>
      <c r="G29" s="7"/>
      <c r="H29" s="7"/>
      <c r="I29" s="7"/>
      <c r="J29" s="7"/>
      <c r="K29" s="7"/>
      <c r="L29" s="7"/>
      <c r="M29" s="8">
        <f>M21*M21*M6/1000</f>
        <v>33.33333333333334</v>
      </c>
      <c r="N29" s="8"/>
      <c r="O29" s="8"/>
      <c r="P29" s="8"/>
      <c r="Q29" s="8"/>
      <c r="R29" s="7"/>
    </row>
    <row r="30" spans="1:18" ht="12.75">
      <c r="A30" s="7"/>
      <c r="B30" s="7"/>
      <c r="C30" s="7"/>
      <c r="D30" s="7"/>
      <c r="E30" s="7"/>
      <c r="F30" s="7"/>
      <c r="G30" s="7"/>
      <c r="H30" s="7"/>
      <c r="I30" s="7"/>
      <c r="J30" s="7"/>
      <c r="K30" s="7"/>
      <c r="L30" s="7"/>
      <c r="M30" s="8">
        <f>M21*M21*M8/1000</f>
        <v>55.55555555555557</v>
      </c>
      <c r="N30" s="8"/>
      <c r="O30" s="8"/>
      <c r="P30" s="8"/>
      <c r="Q30" s="8"/>
      <c r="R30" s="7"/>
    </row>
    <row r="31" spans="1:18" ht="12.75">
      <c r="A31" s="7"/>
      <c r="B31" s="7"/>
      <c r="C31" s="7"/>
      <c r="D31" s="7"/>
      <c r="E31" s="7"/>
      <c r="F31" s="7"/>
      <c r="G31" s="7"/>
      <c r="H31" s="7"/>
      <c r="I31" s="7"/>
      <c r="J31" s="7"/>
      <c r="K31" s="7"/>
      <c r="L31" s="7"/>
      <c r="M31" s="8">
        <f>100*M23/(M23+M27+M28+M30+M29)</f>
        <v>79.87692837413405</v>
      </c>
      <c r="N31" s="8"/>
      <c r="O31" s="8"/>
      <c r="P31" s="8"/>
      <c r="Q31" s="8"/>
      <c r="R31" s="7"/>
    </row>
    <row r="32" spans="1:18" ht="12.75">
      <c r="A32" s="7"/>
      <c r="B32" s="7"/>
      <c r="C32" s="7"/>
      <c r="D32" s="7"/>
      <c r="E32" s="7"/>
      <c r="F32" s="7"/>
      <c r="G32" s="7"/>
      <c r="H32" s="7"/>
      <c r="I32" s="7"/>
      <c r="J32" s="7"/>
      <c r="K32" s="7"/>
      <c r="L32" s="7"/>
      <c r="M32" s="8">
        <f>100*M21*M4*M3/M2/M31</f>
        <v>97.37201888069093</v>
      </c>
      <c r="N32" s="8"/>
      <c r="O32" s="8"/>
      <c r="P32" s="8"/>
      <c r="Q32" s="8"/>
      <c r="R32" s="7"/>
    </row>
    <row r="33" spans="1:18" ht="12.75">
      <c r="A33" s="7"/>
      <c r="B33" s="7"/>
      <c r="C33" s="7"/>
      <c r="D33" s="7"/>
      <c r="E33" s="7"/>
      <c r="F33" s="7"/>
      <c r="G33" s="7"/>
      <c r="H33" s="7"/>
      <c r="I33" s="7"/>
      <c r="J33" s="7"/>
      <c r="K33" s="7"/>
      <c r="L33" s="7"/>
      <c r="M33" s="7"/>
      <c r="N33" s="7"/>
      <c r="O33" s="7"/>
      <c r="P33" s="7"/>
      <c r="Q33" s="7"/>
      <c r="R33" s="7"/>
    </row>
    <row r="34" spans="1:18" ht="12.75">
      <c r="A34" s="7"/>
      <c r="B34" s="7"/>
      <c r="C34" s="7"/>
      <c r="D34" s="7"/>
      <c r="E34" s="7"/>
      <c r="F34" s="7"/>
      <c r="G34" s="7"/>
      <c r="H34" s="7"/>
      <c r="I34" s="7"/>
      <c r="J34" s="7"/>
      <c r="K34" s="7"/>
      <c r="L34" s="7"/>
      <c r="M34" s="7"/>
      <c r="N34" s="7"/>
      <c r="O34" s="7"/>
      <c r="P34" s="7"/>
      <c r="Q34" s="7"/>
      <c r="R34" s="7"/>
    </row>
    <row r="35" spans="1:18" ht="12.75">
      <c r="A35" s="7"/>
      <c r="B35" s="7"/>
      <c r="C35" s="7"/>
      <c r="D35" s="7"/>
      <c r="E35" s="7"/>
      <c r="F35" s="7"/>
      <c r="G35" s="15">
        <f>'Sheet 1'!O4</f>
        <v>2.782215319726675E-07</v>
      </c>
      <c r="H35" s="8"/>
      <c r="I35" s="8">
        <f>-'Sheet 1'!P13*1000*(1-EXP(-'Sheet 1'!P8*'Sheet 1'!N11/'Sheet 1'!M7))+H42*EXP(-'Sheet 1'!P8*'Sheet 1'!N11/'Sheet 1'!M7)</f>
        <v>275.3296474416316</v>
      </c>
      <c r="J35" s="8">
        <f>'Sheet 1'!O2*1000-(('Sheet 1'!O2*1000)-H41)*I41</f>
        <v>406.83471176594867</v>
      </c>
      <c r="K35" s="8"/>
      <c r="L35" s="8"/>
      <c r="M35" s="7"/>
      <c r="N35" s="7"/>
      <c r="O35" s="7"/>
      <c r="P35" s="7"/>
      <c r="Q35" s="7"/>
      <c r="R35" s="7"/>
    </row>
    <row r="36" spans="1:18" ht="12.75">
      <c r="A36" s="7"/>
      <c r="B36" s="7"/>
      <c r="C36" s="7"/>
      <c r="D36" s="7"/>
      <c r="E36" s="7"/>
      <c r="F36" s="7"/>
      <c r="G36" s="8">
        <f>'Sheet 1'!O7</f>
        <v>8.161820952913506E-07</v>
      </c>
      <c r="H36" s="8"/>
      <c r="I36" s="8">
        <f>IF(I35&gt;J36,J36,I35)</f>
        <v>275.3296474416316</v>
      </c>
      <c r="J36" s="8">
        <f>IF('Sheet 1'!O2&gt;'Sheet 1'!P2,J35,'Sheet 1'!O2*1000)</f>
        <v>406.83471176594867</v>
      </c>
      <c r="K36" s="8"/>
      <c r="L36" s="8"/>
      <c r="M36" s="7"/>
      <c r="N36" s="7"/>
      <c r="O36" s="7"/>
      <c r="P36" s="7"/>
      <c r="Q36" s="7"/>
      <c r="R36" s="7"/>
    </row>
    <row r="37" spans="1:18" ht="12.75">
      <c r="A37" s="7"/>
      <c r="B37" s="7"/>
      <c r="C37" s="7"/>
      <c r="D37" s="7"/>
      <c r="E37" s="7"/>
      <c r="F37" s="7"/>
      <c r="G37" s="8">
        <f>G35/(G35+G36)</f>
        <v>0.25422204846690283</v>
      </c>
      <c r="H37" s="8"/>
      <c r="I37" s="8"/>
      <c r="J37" s="8"/>
      <c r="K37" s="8"/>
      <c r="L37" s="8"/>
      <c r="M37" s="7"/>
      <c r="N37" s="7"/>
      <c r="O37" s="7"/>
      <c r="P37" s="7"/>
      <c r="Q37" s="7"/>
      <c r="R37" s="7"/>
    </row>
    <row r="38" spans="1:18" ht="12.75">
      <c r="A38" s="7"/>
      <c r="B38" s="7"/>
      <c r="C38" s="7"/>
      <c r="D38" s="7"/>
      <c r="E38" s="7"/>
      <c r="F38" s="7"/>
      <c r="G38" s="8">
        <f>1000/(G35+G36)</f>
        <v>913739661.5725546</v>
      </c>
      <c r="H38" s="8"/>
      <c r="I38" s="8">
        <f>0.000001*('Sheet 1'!M7/'Sheet 1'!N5)*LN(('Sheet 1'!O2*1000-G42)/('Sheet 1'!O2*1000-H42))</f>
        <v>1.6825343888989967E-08</v>
      </c>
      <c r="J38" s="8">
        <f>0.000001*('Sheet 1'!M7/'Sheet 1'!P8)*LN((G41/1000+'Sheet 1'!P13)/(H41/1000+'Sheet 1'!P13))</f>
        <v>1.4503093468705402E-07</v>
      </c>
      <c r="K38" s="8"/>
      <c r="L38" s="8"/>
      <c r="M38" s="7"/>
      <c r="N38" s="7"/>
      <c r="O38" s="7"/>
      <c r="P38" s="7"/>
      <c r="Q38" s="7"/>
      <c r="R38" s="7"/>
    </row>
    <row r="39" spans="1:18" ht="12.75">
      <c r="A39" s="7"/>
      <c r="B39" s="7"/>
      <c r="C39" s="7"/>
      <c r="D39" s="7"/>
      <c r="E39" s="7"/>
      <c r="F39" s="7"/>
      <c r="G39" s="8"/>
      <c r="H39" s="8"/>
      <c r="I39" s="8"/>
      <c r="J39" s="8"/>
      <c r="K39" s="8"/>
      <c r="L39" s="8"/>
      <c r="M39" s="7"/>
      <c r="N39" s="7"/>
      <c r="O39" s="7"/>
      <c r="P39" s="7"/>
      <c r="Q39" s="7"/>
      <c r="R39" s="7"/>
    </row>
    <row r="40" spans="1:18" ht="12.75">
      <c r="A40" s="7"/>
      <c r="B40" s="7"/>
      <c r="C40" s="7"/>
      <c r="D40" s="7"/>
      <c r="E40" s="7"/>
      <c r="F40" s="7"/>
      <c r="G40" s="8"/>
      <c r="H40" s="8"/>
      <c r="I40" s="8"/>
      <c r="J40" s="8"/>
      <c r="K40" s="8"/>
      <c r="L40" s="8"/>
      <c r="M40" s="7"/>
      <c r="N40" s="7"/>
      <c r="O40" s="7"/>
      <c r="P40" s="7"/>
      <c r="Q40" s="7"/>
      <c r="R40" s="7"/>
    </row>
    <row r="41" spans="1:18" ht="12.75">
      <c r="A41" s="7"/>
      <c r="B41" s="7"/>
      <c r="C41" s="7"/>
      <c r="D41" s="7"/>
      <c r="E41" s="7"/>
      <c r="F41" s="7"/>
      <c r="G41" s="8">
        <f>J36</f>
        <v>406.83471176594867</v>
      </c>
      <c r="H41" s="8">
        <f>(Calculator!C26/1.25)*115/'Sheet 1'!M6</f>
        <v>383.33333333333337</v>
      </c>
      <c r="I41" s="8">
        <f>EXP(-'Sheet 1'!N5*'Sheet 1'!N10/'Sheet 1'!M7)</f>
        <v>0.9975561824853434</v>
      </c>
      <c r="J41" s="8"/>
      <c r="K41" s="8"/>
      <c r="L41" s="8"/>
      <c r="M41" s="7"/>
      <c r="N41" s="7"/>
      <c r="O41" s="7"/>
      <c r="P41" s="7"/>
      <c r="Q41" s="7"/>
      <c r="R41" s="7"/>
    </row>
    <row r="42" spans="1:18" ht="12.75">
      <c r="A42" s="7"/>
      <c r="B42" s="7"/>
      <c r="C42" s="7"/>
      <c r="D42" s="7"/>
      <c r="E42" s="7"/>
      <c r="F42" s="7"/>
      <c r="G42" s="8">
        <f>I36</f>
        <v>275.3296474416316</v>
      </c>
      <c r="H42" s="8">
        <f>(Calculator!C26/1.25)*85/'Sheet 1'!M6</f>
        <v>283.33333333333337</v>
      </c>
      <c r="I42" s="8">
        <f>EXP('Sheet 1'!P8*'Sheet 1'!N11/'Sheet 1'!M7)</f>
        <v>1.0008514260873693</v>
      </c>
      <c r="J42" s="8"/>
      <c r="K42" s="8"/>
      <c r="L42" s="8"/>
      <c r="M42" s="7"/>
      <c r="N42" s="7"/>
      <c r="O42" s="7"/>
      <c r="P42" s="7"/>
      <c r="Q42" s="7"/>
      <c r="R42" s="7"/>
    </row>
    <row r="43" spans="1:18" ht="12.75">
      <c r="A43" s="7"/>
      <c r="B43" s="7"/>
      <c r="C43" s="7"/>
      <c r="D43" s="7"/>
      <c r="E43" s="7"/>
      <c r="F43" s="7"/>
      <c r="G43" s="8">
        <f>G41-G42</f>
        <v>131.50506432431706</v>
      </c>
      <c r="H43" s="8"/>
      <c r="I43" s="8"/>
      <c r="J43" s="8"/>
      <c r="K43" s="8"/>
      <c r="L43" s="8"/>
      <c r="M43" s="7"/>
      <c r="N43" s="7"/>
      <c r="O43" s="7"/>
      <c r="P43" s="7"/>
      <c r="Q43" s="7"/>
      <c r="R43" s="7"/>
    </row>
    <row r="44" spans="1:18" ht="12.75">
      <c r="A44" s="7"/>
      <c r="B44" s="7"/>
      <c r="C44" s="7"/>
      <c r="D44" s="7"/>
      <c r="E44" s="7"/>
      <c r="F44" s="7"/>
      <c r="G44" s="8">
        <f>(G41+G42)/2</f>
        <v>341.0821796037901</v>
      </c>
      <c r="H44" s="8"/>
      <c r="I44" s="8"/>
      <c r="J44" s="8"/>
      <c r="K44" s="8"/>
      <c r="L44" s="8"/>
      <c r="M44" s="7"/>
      <c r="N44" s="7"/>
      <c r="O44" s="7"/>
      <c r="P44" s="7"/>
      <c r="Q44" s="7"/>
      <c r="R44" s="7"/>
    </row>
    <row r="45" spans="1:18" ht="12.75">
      <c r="A45" s="7"/>
      <c r="B45" s="7"/>
      <c r="C45" s="7"/>
      <c r="D45" s="7"/>
      <c r="E45" s="7"/>
      <c r="F45" s="7"/>
      <c r="G45" s="8"/>
      <c r="H45" s="8"/>
      <c r="I45" s="8"/>
      <c r="J45" s="8"/>
      <c r="K45" s="8"/>
      <c r="L45" s="8"/>
      <c r="M45" s="7"/>
      <c r="N45" s="7"/>
      <c r="O45" s="7"/>
      <c r="P45" s="7"/>
      <c r="Q45" s="7"/>
      <c r="R45" s="7"/>
    </row>
    <row r="46" spans="1:18" ht="12.75">
      <c r="A46" s="7"/>
      <c r="B46" s="7"/>
      <c r="C46" s="7"/>
      <c r="D46" s="7"/>
      <c r="E46" s="7"/>
      <c r="F46" s="7"/>
      <c r="G46" s="8">
        <f>G44*'Sheet 1'!M3*'Sheet 1'!M4</f>
        <v>2387.575257226531</v>
      </c>
      <c r="H46" s="8"/>
      <c r="I46" s="8"/>
      <c r="J46" s="8"/>
      <c r="K46" s="8"/>
      <c r="L46" s="8"/>
      <c r="M46" s="7"/>
      <c r="N46" s="7"/>
      <c r="O46" s="7"/>
      <c r="P46" s="7"/>
      <c r="Q46" s="7"/>
      <c r="R46" s="7"/>
    </row>
    <row r="47" spans="1:18" ht="12.75">
      <c r="A47" s="7"/>
      <c r="B47" s="7"/>
      <c r="C47" s="7"/>
      <c r="D47" s="7"/>
      <c r="E47" s="7"/>
      <c r="F47" s="7"/>
      <c r="G47" s="8">
        <f>1*(2.5*'Sheet 1'!M2+250)</f>
        <v>325</v>
      </c>
      <c r="H47" s="8"/>
      <c r="I47" s="8"/>
      <c r="J47" s="8"/>
      <c r="K47" s="8"/>
      <c r="L47" s="8"/>
      <c r="M47" s="7"/>
      <c r="N47" s="7"/>
      <c r="O47" s="7"/>
      <c r="P47" s="7"/>
      <c r="Q47" s="7"/>
      <c r="R47" s="7"/>
    </row>
    <row r="48" spans="1:18" ht="12.75">
      <c r="A48" s="7"/>
      <c r="B48" s="7"/>
      <c r="C48" s="7"/>
      <c r="D48" s="7"/>
      <c r="E48" s="7"/>
      <c r="F48" s="7"/>
      <c r="G48" s="8">
        <f>'Sheet 1'!M14*'Sheet 1'!M21*'Sheet 1'!M21*Calculator!C24/1000</f>
        <v>46.51462467626296</v>
      </c>
      <c r="H48" s="8"/>
      <c r="I48" s="8"/>
      <c r="J48" s="8"/>
      <c r="K48" s="8"/>
      <c r="L48" s="8"/>
      <c r="M48" s="7"/>
      <c r="N48" s="7"/>
      <c r="O48" s="7"/>
      <c r="P48" s="7"/>
      <c r="Q48" s="7"/>
      <c r="R48" s="7"/>
    </row>
    <row r="49" spans="1:18" ht="12.75">
      <c r="A49" s="7"/>
      <c r="B49" s="7"/>
      <c r="C49" s="7"/>
      <c r="D49" s="7"/>
      <c r="E49" s="7"/>
      <c r="F49" s="7"/>
      <c r="G49" s="8">
        <f>((Calculator!C23*J35*('Sheet 1'!M2-'Sheet 1'!N4)*('Sheet 1'!M2-'Sheet 1'!N4)/4/'Sheet 1'!M2)+(Calculator!C22*I35*('Sheet 1'!M2+'Sheet 1'!M5))/2)/(G35+G36)/1000000000</f>
        <v>125.39137333538415</v>
      </c>
      <c r="H49" s="8"/>
      <c r="I49" s="8"/>
      <c r="J49" s="8"/>
      <c r="K49" s="8"/>
      <c r="L49" s="8"/>
      <c r="M49" s="7"/>
      <c r="N49" s="7"/>
      <c r="O49" s="7"/>
      <c r="P49" s="7"/>
      <c r="Q49" s="7"/>
      <c r="R49" s="7"/>
    </row>
    <row r="50" spans="1:18" ht="12.75">
      <c r="A50" s="7"/>
      <c r="B50" s="7"/>
      <c r="C50" s="7"/>
      <c r="D50" s="7"/>
      <c r="E50" s="7"/>
      <c r="F50" s="7"/>
      <c r="G50" s="8">
        <f>'Sheet 1'!M2*'Sheet 1'!M24/1000+'Sheet 1'!A11+'Sheet 1'!A12</f>
        <v>179.48487320112102</v>
      </c>
      <c r="H50" s="8"/>
      <c r="I50" s="8"/>
      <c r="J50" s="8"/>
      <c r="K50" s="8"/>
      <c r="L50" s="8"/>
      <c r="M50" s="7"/>
      <c r="N50" s="7"/>
      <c r="O50" s="7"/>
      <c r="P50" s="7"/>
      <c r="Q50" s="7"/>
      <c r="R50" s="7"/>
    </row>
    <row r="51" spans="1:18" ht="12.75">
      <c r="A51" s="7"/>
      <c r="B51" s="7"/>
      <c r="C51" s="7"/>
      <c r="D51" s="7"/>
      <c r="E51" s="7"/>
      <c r="F51" s="7"/>
      <c r="G51" s="8">
        <f>(1-'Sheet 1'!A3)*'Sheet 1'!A8*Calculator!C12</f>
        <v>76.2945545149223</v>
      </c>
      <c r="H51" s="8"/>
      <c r="I51" s="8"/>
      <c r="J51" s="8"/>
      <c r="K51" s="8"/>
      <c r="L51" s="8"/>
      <c r="M51" s="7"/>
      <c r="N51" s="7"/>
      <c r="O51" s="7"/>
      <c r="P51" s="7"/>
      <c r="Q51" s="7"/>
      <c r="R51" s="7"/>
    </row>
    <row r="52" spans="1:18" ht="12.75">
      <c r="A52" s="7"/>
      <c r="B52" s="7"/>
      <c r="C52" s="7"/>
      <c r="D52" s="7"/>
      <c r="E52" s="7"/>
      <c r="F52" s="7"/>
      <c r="G52" s="8">
        <f>'Sheet 1'!A8*'Sheet 1'!A8*'Sheet 1'!M6/1000</f>
        <v>34.88564436731769</v>
      </c>
      <c r="H52" s="8"/>
      <c r="I52" s="8"/>
      <c r="J52" s="8"/>
      <c r="K52" s="8"/>
      <c r="L52" s="8"/>
      <c r="M52" s="7"/>
      <c r="N52" s="7"/>
      <c r="O52" s="7"/>
      <c r="P52" s="7"/>
      <c r="Q52" s="7"/>
      <c r="R52" s="7"/>
    </row>
    <row r="53" spans="1:18" ht="12.75">
      <c r="A53" s="7"/>
      <c r="B53" s="7"/>
      <c r="C53" s="7"/>
      <c r="D53" s="7"/>
      <c r="E53" s="7"/>
      <c r="F53" s="7"/>
      <c r="G53" s="8">
        <f>'Sheet 1'!M21*'Sheet 1'!M21*'Sheet 1'!M8/1000</f>
        <v>55.55555555555557</v>
      </c>
      <c r="H53" s="8"/>
      <c r="I53" s="8"/>
      <c r="J53" s="8"/>
      <c r="K53" s="8"/>
      <c r="L53" s="8"/>
      <c r="M53" s="7"/>
      <c r="N53" s="7"/>
      <c r="O53" s="7"/>
      <c r="P53" s="7"/>
      <c r="Q53" s="7"/>
      <c r="R53" s="7"/>
    </row>
    <row r="54" spans="1:18" ht="12.75">
      <c r="A54" s="7"/>
      <c r="B54" s="7"/>
      <c r="C54" s="7"/>
      <c r="D54" s="7"/>
      <c r="E54" s="7"/>
      <c r="F54" s="7"/>
      <c r="G54" s="8">
        <f>100*'Sheet 1'!A10*1000/('Sheet 1'!A10*1000+Calculator!G23+Calculator!G24+'Sheet 1'!A14+Calculator!G25)</f>
        <v>87.25049519186634</v>
      </c>
      <c r="H54" s="8"/>
      <c r="I54" s="8"/>
      <c r="J54" s="8"/>
      <c r="K54" s="8"/>
      <c r="L54" s="8"/>
      <c r="M54" s="7"/>
      <c r="N54" s="7"/>
      <c r="O54" s="7"/>
      <c r="P54" s="7"/>
      <c r="Q54" s="7"/>
      <c r="R54" s="7"/>
    </row>
    <row r="55" spans="1:18" ht="12.75">
      <c r="A55" s="7"/>
      <c r="B55" s="7"/>
      <c r="C55" s="7"/>
      <c r="D55" s="7"/>
      <c r="E55" s="7"/>
      <c r="F55" s="7"/>
      <c r="G55" s="8">
        <f>100*'Sheet 1'!I3*'Sheet 1'!N4/Calculator!C9/G54</f>
        <v>91.25524847778355</v>
      </c>
      <c r="H55" s="8"/>
      <c r="I55" s="8"/>
      <c r="J55" s="8"/>
      <c r="K55" s="8"/>
      <c r="L55" s="8"/>
      <c r="M55" s="7"/>
      <c r="N55" s="7"/>
      <c r="O55" s="7"/>
      <c r="P55" s="7"/>
      <c r="Q55" s="7"/>
      <c r="R55" s="7"/>
    </row>
    <row r="56" spans="1:18" ht="12.75">
      <c r="A56" s="7"/>
      <c r="B56" s="7"/>
      <c r="C56" s="7"/>
      <c r="D56" s="7"/>
      <c r="E56" s="7"/>
      <c r="F56" s="7"/>
      <c r="G56" s="8">
        <f>(Calculator!C24/1.5)*((0.00002*G57*G57)+(0.006*G57)+1.3269)</f>
        <v>1.7157156540971878</v>
      </c>
      <c r="H56" s="8"/>
      <c r="I56" s="8"/>
      <c r="J56" s="8"/>
      <c r="K56" s="8"/>
      <c r="L56" s="8"/>
      <c r="M56" s="7"/>
      <c r="N56" s="7"/>
      <c r="O56" s="7"/>
      <c r="P56" s="7"/>
      <c r="Q56" s="7"/>
      <c r="R56" s="7"/>
    </row>
    <row r="57" spans="1:18" ht="12.75">
      <c r="A57" s="7"/>
      <c r="B57" s="7"/>
      <c r="C57" s="7"/>
      <c r="D57" s="7"/>
      <c r="E57" s="7"/>
      <c r="F57" s="7"/>
      <c r="G57" s="8">
        <f>'Sheet 1'!M9+(Calculator!C25/1000)*G50</f>
        <v>54.794488951386086</v>
      </c>
      <c r="H57" s="8"/>
      <c r="I57" s="8"/>
      <c r="J57" s="8"/>
      <c r="K57" s="8"/>
      <c r="L57" s="8"/>
      <c r="M57" s="7"/>
      <c r="N57" s="7"/>
      <c r="O57" s="7"/>
      <c r="P57" s="7"/>
      <c r="Q57" s="7"/>
      <c r="R57" s="7"/>
    </row>
    <row r="58" spans="1:18" ht="12.75">
      <c r="A58" s="16"/>
      <c r="B58" s="16"/>
      <c r="C58" s="16"/>
      <c r="D58" s="16"/>
      <c r="E58" s="16"/>
      <c r="F58" s="16"/>
      <c r="G58" s="16"/>
      <c r="H58" s="16"/>
      <c r="I58" s="16"/>
      <c r="J58" s="16"/>
      <c r="K58" s="16"/>
      <c r="L58" s="16"/>
      <c r="M58" s="16"/>
      <c r="N58" s="16"/>
      <c r="O58" s="16"/>
      <c r="P58" s="16"/>
      <c r="Q58" s="16"/>
      <c r="R58" s="16"/>
    </row>
    <row r="59" spans="1:18" ht="12.75">
      <c r="A59" s="16"/>
      <c r="B59" s="16"/>
      <c r="C59" s="16"/>
      <c r="D59" s="16"/>
      <c r="E59" s="16"/>
      <c r="F59" s="16"/>
      <c r="G59" s="16"/>
      <c r="H59" s="16"/>
      <c r="I59" s="16"/>
      <c r="J59" s="16"/>
      <c r="K59" s="16"/>
      <c r="L59" s="16"/>
      <c r="M59" s="16"/>
      <c r="N59" s="16"/>
      <c r="O59" s="16"/>
      <c r="P59" s="16"/>
      <c r="Q59" s="16"/>
      <c r="R59" s="16"/>
    </row>
  </sheetData>
  <sheetProtection password="C9C9" sheet="1" objects="1" scenarios="1" selectLockedCells="1" selectUnlockedCells="1"/>
  <dataValidations count="1">
    <dataValidation type="decimal" operator="greaterThan" allowBlank="1" showInputMessage="1" showErrorMessage="1" errorTitle="Available current" error="Circuit resistance is preventing current reaching threshold" sqref="O2">
      <formula1>P2</formula1>
    </dataValidation>
  </dataValidations>
  <printOptions/>
  <pageMargins left="0.75" right="0.75" top="1" bottom="1" header="0.5" footer="0.5"/>
  <pageSetup orientation="portrait" paperSize="9"/>
  <ignoredErrors>
    <ignoredError sqref="H2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Zetex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C.Taylor</dc:creator>
  <cp:keywords/>
  <dc:description/>
  <cp:lastModifiedBy>Mark Tamblyn</cp:lastModifiedBy>
  <cp:lastPrinted>2006-06-12T09:15:34Z</cp:lastPrinted>
  <dcterms:created xsi:type="dcterms:W3CDTF">2006-02-03T08:56:35Z</dcterms:created>
  <dcterms:modified xsi:type="dcterms:W3CDTF">2006-06-12T09:39:21Z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