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2160" yWindow="1380" windowWidth="18336" windowHeight="7932" tabRatio="500"/>
  </bookViews>
  <sheets>
    <sheet name="Worksheet" sheetId="1" r:id="rId1"/>
    <sheet name="TRX Selection" sheetId="2" r:id="rId2"/>
  </sheets>
  <externalReferences>
    <externalReference r:id="rId3"/>
  </externalReferences>
  <definedNames>
    <definedName name="_xlnm._FilterDatabase" localSheetId="1" hidden="1">'TRX Selection'!$B$19:$B$192</definedName>
    <definedName name="Lp" localSheetId="1">[1]Worksheet!$B$32</definedName>
  </definedNames>
  <calcPr calcId="145621"/>
</workbook>
</file>

<file path=xl/calcChain.xml><?xml version="1.0" encoding="utf-8"?>
<calcChain xmlns="http://schemas.openxmlformats.org/spreadsheetml/2006/main">
  <c r="C37" i="1" l="1"/>
  <c r="G38" i="1" s="1"/>
  <c r="G33" i="1"/>
  <c r="G34" i="1" l="1"/>
  <c r="G35" i="1" s="1"/>
  <c r="G36" i="1" s="1"/>
  <c r="G37" i="1"/>
  <c r="G51" i="1"/>
  <c r="G52" i="1" s="1"/>
  <c r="C51" i="1"/>
  <c r="C52" i="1" l="1"/>
  <c r="S5" i="2" l="1"/>
  <c r="R5" i="2"/>
  <c r="Q5" i="2"/>
  <c r="P5" i="2"/>
  <c r="O5" i="2"/>
  <c r="N5" i="2"/>
  <c r="M5" i="2"/>
  <c r="L5" i="2"/>
  <c r="K5" i="2"/>
  <c r="J5" i="2"/>
  <c r="I5" i="2"/>
  <c r="H5" i="2"/>
  <c r="R17" i="2"/>
  <c r="Q17" i="2"/>
  <c r="P17" i="2"/>
  <c r="O17" i="2"/>
  <c r="N17" i="2"/>
  <c r="M17" i="2"/>
  <c r="L17" i="2"/>
  <c r="J17" i="2"/>
  <c r="I17" i="2"/>
  <c r="G17" i="2"/>
  <c r="G5" i="2"/>
  <c r="D5" i="2"/>
  <c r="C14" i="1" s="1"/>
  <c r="F17" i="2"/>
  <c r="F5" i="2"/>
  <c r="E5" i="2"/>
  <c r="D17" i="2"/>
  <c r="G19" i="1"/>
  <c r="B20" i="1" s="1"/>
  <c r="C15" i="1"/>
  <c r="C53" i="1" s="1"/>
  <c r="G21" i="1"/>
  <c r="B13" i="1"/>
  <c r="S17" i="2"/>
  <c r="K17" i="2"/>
  <c r="H17" i="2"/>
  <c r="E17" i="2"/>
  <c r="G42" i="1"/>
  <c r="C54" i="1" l="1"/>
  <c r="C55" i="1" s="1"/>
  <c r="G53" i="1" s="1"/>
  <c r="G54" i="1" s="1"/>
  <c r="G30" i="1" s="1"/>
  <c r="G29" i="1"/>
  <c r="G55" i="1"/>
  <c r="G24" i="1"/>
  <c r="G25" i="1"/>
  <c r="C21" i="1" l="1"/>
  <c r="G26" i="1"/>
  <c r="G27" i="1" s="1"/>
  <c r="G28" i="1" s="1"/>
  <c r="C45" i="1" l="1"/>
  <c r="G45" i="1" s="1"/>
  <c r="B25" i="1"/>
  <c r="G20" i="1" l="1"/>
</calcChain>
</file>

<file path=xl/sharedStrings.xml><?xml version="1.0" encoding="utf-8"?>
<sst xmlns="http://schemas.openxmlformats.org/spreadsheetml/2006/main" count="879" uniqueCount="477">
  <si>
    <t>Transformer Type Selection</t>
    <phoneticPr fontId="0" type="noConversion"/>
  </si>
  <si>
    <t>Transformer Type</t>
    <phoneticPr fontId="0" type="noConversion"/>
  </si>
  <si>
    <t>MATE-
RIAL</t>
  </si>
  <si>
    <t>Dimensions (mm)</t>
  </si>
  <si>
    <t xml:space="preserve">Ap      </t>
  </si>
  <si>
    <t xml:space="preserve">Ae  </t>
  </si>
  <si>
    <t xml:space="preserve">Aw  </t>
  </si>
  <si>
    <r>
      <t>A</t>
    </r>
    <r>
      <rPr>
        <b/>
        <vertAlign val="subscript"/>
        <sz val="10"/>
        <color indexed="8"/>
        <rFont val="Arial"/>
        <family val="2"/>
      </rPr>
      <t>L</t>
    </r>
    <r>
      <rPr>
        <b/>
        <sz val="10"/>
        <color indexed="8"/>
        <rFont val="Arial"/>
        <family val="2"/>
      </rPr>
      <t xml:space="preserve"> </t>
    </r>
  </si>
  <si>
    <t xml:space="preserve">Le  </t>
  </si>
  <si>
    <t xml:space="preserve">Ve     </t>
  </si>
  <si>
    <t xml:space="preserve">Wt        </t>
  </si>
  <si>
    <r>
      <t xml:space="preserve"> P</t>
    </r>
    <r>
      <rPr>
        <b/>
        <vertAlign val="subscript"/>
        <sz val="10"/>
        <color indexed="8"/>
        <rFont val="Arial"/>
        <family val="2"/>
      </rPr>
      <t>CL</t>
    </r>
    <r>
      <rPr>
        <b/>
        <sz val="10"/>
        <color indexed="8"/>
        <rFont val="Arial"/>
        <family val="2"/>
      </rPr>
      <t xml:space="preserve"> 100kHz 200mT</t>
    </r>
  </si>
  <si>
    <t>Pt  100  kHz</t>
  </si>
  <si>
    <t>PIN</t>
  </si>
  <si>
    <r>
      <rPr>
        <b/>
        <sz val="10"/>
        <color indexed="8"/>
        <rFont val="宋体"/>
      </rPr>
      <t>形狀</t>
    </r>
  </si>
  <si>
    <t>A * B * C</t>
  </si>
  <si>
    <r>
      <t>( cm</t>
    </r>
    <r>
      <rPr>
        <b/>
        <vertAlign val="superscript"/>
        <sz val="10"/>
        <color indexed="8"/>
        <rFont val="Arial"/>
        <family val="2"/>
      </rPr>
      <t xml:space="preserve">4 </t>
    </r>
    <r>
      <rPr>
        <b/>
        <sz val="10"/>
        <color indexed="8"/>
        <rFont val="Arial"/>
        <family val="2"/>
      </rPr>
      <t>)</t>
    </r>
  </si>
  <si>
    <r>
      <t xml:space="preserve"> ( mm</t>
    </r>
    <r>
      <rPr>
        <b/>
        <vertAlign val="superscript"/>
        <sz val="10"/>
        <color indexed="8"/>
        <rFont val="Arial"/>
        <family val="2"/>
      </rPr>
      <t>2</t>
    </r>
    <r>
      <rPr>
        <b/>
        <sz val="10"/>
        <color indexed="8"/>
        <rFont val="Arial"/>
        <family val="2"/>
      </rPr>
      <t xml:space="preserve"> )</t>
    </r>
  </si>
  <si>
    <r>
      <t>( mm</t>
    </r>
    <r>
      <rPr>
        <b/>
        <vertAlign val="superscript"/>
        <sz val="10"/>
        <color indexed="8"/>
        <rFont val="Arial"/>
        <family val="2"/>
      </rPr>
      <t>2</t>
    </r>
    <r>
      <rPr>
        <b/>
        <sz val="10"/>
        <color indexed="8"/>
        <rFont val="Arial"/>
        <family val="2"/>
      </rPr>
      <t xml:space="preserve"> )</t>
    </r>
  </si>
  <si>
    <r>
      <t>(nH/N</t>
    </r>
    <r>
      <rPr>
        <b/>
        <vertAlign val="superscript"/>
        <sz val="10"/>
        <color indexed="8"/>
        <rFont val="Arial"/>
        <family val="2"/>
      </rPr>
      <t>2</t>
    </r>
    <r>
      <rPr>
        <b/>
        <sz val="10"/>
        <color indexed="8"/>
        <rFont val="Arial"/>
        <family val="2"/>
      </rPr>
      <t>)</t>
    </r>
  </si>
  <si>
    <t xml:space="preserve"> ( mm )</t>
  </si>
  <si>
    <r>
      <t xml:space="preserve"> ( mm</t>
    </r>
    <r>
      <rPr>
        <b/>
        <vertAlign val="superscript"/>
        <sz val="10"/>
        <color indexed="8"/>
        <rFont val="Arial"/>
        <family val="2"/>
      </rPr>
      <t>3</t>
    </r>
    <r>
      <rPr>
        <b/>
        <sz val="10"/>
        <color indexed="8"/>
        <rFont val="Arial"/>
        <family val="2"/>
      </rPr>
      <t xml:space="preserve"> )</t>
    </r>
  </si>
  <si>
    <t xml:space="preserve"> ( g )</t>
  </si>
  <si>
    <r>
      <t xml:space="preserve"> @100</t>
    </r>
    <r>
      <rPr>
        <b/>
        <sz val="10"/>
        <color indexed="8"/>
        <rFont val="宋体"/>
      </rPr>
      <t>℃</t>
    </r>
    <r>
      <rPr>
        <b/>
        <sz val="10"/>
        <color indexed="8"/>
        <rFont val="Arial"/>
        <family val="2"/>
      </rPr>
      <t>(W)</t>
    </r>
  </si>
  <si>
    <t>(W)</t>
  </si>
  <si>
    <t>Select Transformer Type</t>
    <phoneticPr fontId="0" type="noConversion"/>
  </si>
  <si>
    <t>EE13W</t>
    <phoneticPr fontId="0" type="noConversion"/>
  </si>
  <si>
    <t>PC40</t>
    <phoneticPr fontId="0" type="noConversion"/>
  </si>
  <si>
    <r>
      <t>CORE</t>
    </r>
    <r>
      <rPr>
        <b/>
        <sz val="10"/>
        <color indexed="8"/>
        <rFont val="宋体"/>
      </rPr>
      <t>參數對照表</t>
    </r>
  </si>
  <si>
    <t>TYPE</t>
  </si>
  <si>
    <t>TYPE  EC  CORE</t>
  </si>
  <si>
    <t>EC35</t>
  </si>
  <si>
    <t>3C85</t>
  </si>
  <si>
    <t>35.3*17.3*9.5</t>
  </si>
  <si>
    <t>H</t>
  </si>
  <si>
    <t>EC41</t>
  </si>
  <si>
    <t>41.6*19.5*11.6</t>
  </si>
  <si>
    <t>EC52</t>
  </si>
  <si>
    <t>52.2*24.2*13.4</t>
  </si>
  <si>
    <t>EC70</t>
  </si>
  <si>
    <t>71.7*34.5*16.4</t>
  </si>
  <si>
    <t>12/34</t>
  </si>
  <si>
    <t>TYPE  EE  CORE</t>
  </si>
  <si>
    <t>EE05</t>
  </si>
  <si>
    <t>PC40</t>
  </si>
  <si>
    <t>5.25*2.65*1.95</t>
  </si>
  <si>
    <t>6-8</t>
  </si>
  <si>
    <t>EE6.3</t>
  </si>
  <si>
    <t>6.1*2.85*7.95</t>
  </si>
  <si>
    <t>EE8</t>
  </si>
  <si>
    <t>8.3*4.0*3.6</t>
  </si>
  <si>
    <t>EE10/11</t>
  </si>
  <si>
    <t>10.2*5.5*4.75</t>
  </si>
  <si>
    <t>V</t>
  </si>
  <si>
    <t>EE13</t>
  </si>
  <si>
    <t>13.0*6.0*6.15</t>
  </si>
  <si>
    <t>EE16</t>
    <phoneticPr fontId="0" type="noConversion"/>
  </si>
  <si>
    <t>16*7.2*4.8</t>
  </si>
  <si>
    <t>6-10</t>
  </si>
  <si>
    <t>V H</t>
  </si>
  <si>
    <t>EE19</t>
  </si>
  <si>
    <t>19.1*7.95*5.0</t>
  </si>
  <si>
    <t>EE19/16</t>
  </si>
  <si>
    <t>19.29*8.1*4.75</t>
  </si>
  <si>
    <t>EE20/20/5</t>
    <phoneticPr fontId="0" type="noConversion"/>
  </si>
  <si>
    <t>20.15*10*5.1</t>
  </si>
  <si>
    <t>EE22</t>
  </si>
  <si>
    <t>22*9.35*5.75</t>
  </si>
  <si>
    <t>EE2329S</t>
  </si>
  <si>
    <t>23*14.7*6</t>
  </si>
  <si>
    <t>EE25/19</t>
  </si>
  <si>
    <t>25.4*9.46*6.29</t>
  </si>
  <si>
    <t>EE25.4</t>
  </si>
  <si>
    <t>25.4*9.66*6.35</t>
  </si>
  <si>
    <t>EE2825</t>
  </si>
  <si>
    <t>28*12.75*10.6</t>
  </si>
  <si>
    <t>EE30</t>
  </si>
  <si>
    <t>30*13.15*10.7</t>
  </si>
  <si>
    <t>10-12</t>
  </si>
  <si>
    <t>EE30/30/7</t>
  </si>
  <si>
    <t>30.1*15*7.05</t>
  </si>
  <si>
    <t>EE3528</t>
  </si>
  <si>
    <t>34.6*14.3*9.3</t>
  </si>
  <si>
    <t>EE40</t>
  </si>
  <si>
    <t>40*17*10.7</t>
  </si>
  <si>
    <t>EE4133</t>
  </si>
  <si>
    <t>41.5*17*12.7</t>
  </si>
  <si>
    <t>EE42/21/15</t>
  </si>
  <si>
    <t>42*21.2*15</t>
  </si>
  <si>
    <t>EE42/21/20</t>
  </si>
  <si>
    <t>42*21.2*20</t>
  </si>
  <si>
    <t>EE47/39</t>
  </si>
  <si>
    <t>47.12*19.63*15.62</t>
  </si>
  <si>
    <t>EE50</t>
  </si>
  <si>
    <t>50*21.3*14.6</t>
  </si>
  <si>
    <t>EE55/55/21</t>
  </si>
  <si>
    <t>55.15*27.5*20.7</t>
  </si>
  <si>
    <t>11.0(150MT)</t>
  </si>
  <si>
    <t>EE57/47</t>
  </si>
  <si>
    <t>56.57*23.6*18.8</t>
  </si>
  <si>
    <t>EE60</t>
  </si>
  <si>
    <t>60*22.3*15.6</t>
  </si>
  <si>
    <t>EE50.3</t>
  </si>
  <si>
    <t>50.3*25.6*6.1</t>
  </si>
  <si>
    <t>EE62.3/62/6</t>
  </si>
  <si>
    <t>62.3*31*6.1</t>
  </si>
  <si>
    <t>EE65/32/27</t>
  </si>
  <si>
    <t>65.15*32.5*27</t>
  </si>
  <si>
    <t>5.9(100MT)</t>
  </si>
  <si>
    <t>TYPE  EF  CORE</t>
  </si>
  <si>
    <t>EF12.6</t>
  </si>
  <si>
    <t>12.7*6.4*3.6</t>
  </si>
  <si>
    <t>EF16</t>
  </si>
  <si>
    <t>16.1*8.05*4.5</t>
  </si>
  <si>
    <t>EF20</t>
  </si>
  <si>
    <t>20*9.9*5.65</t>
  </si>
  <si>
    <t>EF25</t>
  </si>
  <si>
    <t>25.05*12.55*7.2</t>
  </si>
  <si>
    <t>EF32</t>
  </si>
  <si>
    <t>32.1*16.1*9.15</t>
  </si>
  <si>
    <t>TYPE  EFD  CORE</t>
  </si>
  <si>
    <t>EFD10</t>
  </si>
  <si>
    <t>3F3</t>
  </si>
  <si>
    <t>10.5*5.2*2.7</t>
  </si>
  <si>
    <t>EFD12</t>
  </si>
  <si>
    <t>12.5*6.2*3.5</t>
  </si>
  <si>
    <t>EFD15</t>
  </si>
  <si>
    <t>15*7.5*4.65</t>
  </si>
  <si>
    <t>EFD20</t>
  </si>
  <si>
    <t>20*10*6.65</t>
  </si>
  <si>
    <t>EFD25</t>
  </si>
  <si>
    <t>3C90</t>
  </si>
  <si>
    <t>25*12.5*9.1</t>
  </si>
  <si>
    <t>EFD30</t>
  </si>
  <si>
    <t>30*15*9.1</t>
  </si>
  <si>
    <t>TYPE  EI  CORE</t>
  </si>
  <si>
    <t>EI12.5</t>
  </si>
  <si>
    <t>12.4*7.4*4.85</t>
  </si>
  <si>
    <t>EI16</t>
  </si>
  <si>
    <t>16.0*12.2*4.8</t>
  </si>
  <si>
    <t>H V</t>
  </si>
  <si>
    <t>EI19</t>
  </si>
  <si>
    <t>20*13.55*5.0</t>
  </si>
  <si>
    <t>EI22</t>
  </si>
  <si>
    <t>22.0*14.55*5.75</t>
  </si>
  <si>
    <t>EI25</t>
  </si>
  <si>
    <t>25.3*15.55*6.75</t>
  </si>
  <si>
    <t>EI22/19/6</t>
  </si>
  <si>
    <t>22.0*14.7*5.75</t>
  </si>
  <si>
    <t>EI28</t>
  </si>
  <si>
    <t>28.0*16.75*10.6</t>
  </si>
  <si>
    <t>EI30</t>
  </si>
  <si>
    <t>20.0*21.25*10.7</t>
  </si>
  <si>
    <t>EI33/29/13</t>
  </si>
  <si>
    <t>33.0*23.75*12.7</t>
  </si>
  <si>
    <t>12</t>
  </si>
  <si>
    <t>EI35</t>
  </si>
  <si>
    <t>35.0*24.25*10.0</t>
  </si>
  <si>
    <t>EI3530</t>
  </si>
  <si>
    <t>35.0*24.2*12</t>
  </si>
  <si>
    <t>EI40</t>
  </si>
  <si>
    <t>40.0*27.25*11.65</t>
  </si>
  <si>
    <t>EI50</t>
  </si>
  <si>
    <t>50.0*33.35*14.6</t>
  </si>
  <si>
    <t>EI60</t>
  </si>
  <si>
    <t>60.0*35.85*15.6</t>
  </si>
  <si>
    <t>EI70</t>
  </si>
  <si>
    <t>70.0*54.0*31.6</t>
  </si>
  <si>
    <t>7.61(100MT)</t>
  </si>
  <si>
    <t>TYPE  EP  CORE</t>
  </si>
  <si>
    <t>EP7</t>
  </si>
  <si>
    <t>9.4*3.75*6.5</t>
  </si>
  <si>
    <t>EP10</t>
  </si>
  <si>
    <t>11.5*5.1*7.6</t>
  </si>
  <si>
    <t>EP13</t>
  </si>
  <si>
    <t>12.8*6.5*9.0</t>
  </si>
  <si>
    <t>EP17</t>
  </si>
  <si>
    <t>18.0*8.4*11.0</t>
  </si>
  <si>
    <t>EP20</t>
  </si>
  <si>
    <t>24*10.7*15</t>
  </si>
  <si>
    <t>TYPE  EPC  CORE</t>
  </si>
  <si>
    <t>EPC10</t>
  </si>
  <si>
    <t>PC44</t>
  </si>
  <si>
    <t>10.2*4.05*3.4</t>
  </si>
  <si>
    <t>EPC13</t>
  </si>
  <si>
    <t>13.3*6.6*4.6</t>
  </si>
  <si>
    <t>EPC17</t>
  </si>
  <si>
    <t>17.6*8.55*6</t>
  </si>
  <si>
    <t>EPC19</t>
  </si>
  <si>
    <t>19.1*9.75*6</t>
  </si>
  <si>
    <t>EPC25</t>
    <phoneticPr fontId="0" type="noConversion"/>
  </si>
  <si>
    <t>25.1*12.5*8</t>
  </si>
  <si>
    <t>EPC25B</t>
  </si>
  <si>
    <t>25.1*11.43*6.5</t>
  </si>
  <si>
    <t>EPC27</t>
  </si>
  <si>
    <t>27.1*16*8</t>
  </si>
  <si>
    <t>EPC30</t>
  </si>
  <si>
    <t>30.1*17.5*8</t>
  </si>
  <si>
    <t>TYPE  ER  CORE</t>
  </si>
  <si>
    <t xml:space="preserve">ER9.35  </t>
  </si>
  <si>
    <t>TP4</t>
  </si>
  <si>
    <t>9.35*2.35*4.6</t>
  </si>
  <si>
    <t xml:space="preserve">ER9.5    </t>
  </si>
  <si>
    <t>9.5*2.45*5.9</t>
  </si>
  <si>
    <t xml:space="preserve">ER11.5  </t>
  </si>
  <si>
    <t>10.83*2.45*4</t>
  </si>
  <si>
    <t xml:space="preserve">ER14.5  </t>
  </si>
  <si>
    <t>14.5*2.95*6.7</t>
  </si>
  <si>
    <t xml:space="preserve">ER1916 </t>
  </si>
  <si>
    <t>19.2*16*5.6</t>
  </si>
  <si>
    <t xml:space="preserve">ER25.5  </t>
  </si>
  <si>
    <t>25.5*9.3*7.5</t>
  </si>
  <si>
    <t xml:space="preserve">ER25/51 </t>
  </si>
  <si>
    <t>25.4*25.4*18</t>
  </si>
  <si>
    <t xml:space="preserve">ER28/28 </t>
  </si>
  <si>
    <t>28.55*14*11.4</t>
  </si>
  <si>
    <t>10--12</t>
  </si>
  <si>
    <t>H  V</t>
  </si>
  <si>
    <t xml:space="preserve">ER28/34 </t>
  </si>
  <si>
    <t>28.55*16.9*11.4</t>
  </si>
  <si>
    <t xml:space="preserve">ER30/16 </t>
  </si>
  <si>
    <t>30*8*20</t>
  </si>
  <si>
    <t xml:space="preserve">ER30/35 </t>
  </si>
  <si>
    <t>30*17.5*11.2</t>
  </si>
  <si>
    <t xml:space="preserve">ER35/34 </t>
  </si>
  <si>
    <t>35*16.8*11.3</t>
  </si>
  <si>
    <t xml:space="preserve">ER35/41 </t>
  </si>
  <si>
    <t>35*20.7*11.3</t>
  </si>
  <si>
    <t>12--16</t>
  </si>
  <si>
    <t xml:space="preserve">ER39/36 </t>
  </si>
  <si>
    <t>B1</t>
  </si>
  <si>
    <t>39.1*17.8*12.5</t>
  </si>
  <si>
    <t xml:space="preserve">ER39/42 </t>
  </si>
  <si>
    <t>39.1*21.1*12.5</t>
  </si>
  <si>
    <t>ER40/45</t>
  </si>
  <si>
    <t>40*22.4*13.3</t>
  </si>
  <si>
    <t xml:space="preserve">ER42/15 </t>
  </si>
  <si>
    <t>42*22.4*15.5</t>
  </si>
  <si>
    <t xml:space="preserve">ER42/20 </t>
  </si>
  <si>
    <t>42.15*21.2*19.6</t>
  </si>
  <si>
    <t xml:space="preserve">ER49/54 </t>
  </si>
  <si>
    <t>N27</t>
  </si>
  <si>
    <t>49*27*17.2</t>
  </si>
  <si>
    <t>ER54/36</t>
  </si>
  <si>
    <t>53.5*18.3*17.95</t>
  </si>
  <si>
    <t>TYPE  ETD  CORE</t>
  </si>
  <si>
    <t>ETD19</t>
  </si>
  <si>
    <t>19.6*13.65*7.4</t>
  </si>
  <si>
    <t>ETD24</t>
  </si>
  <si>
    <t>24.4*14.45*8.5</t>
  </si>
  <si>
    <t>ETD29</t>
  </si>
  <si>
    <t>29.8*15.8*9.5</t>
  </si>
  <si>
    <t>ETD34</t>
  </si>
  <si>
    <t>34.2*17.3*10.88</t>
  </si>
  <si>
    <t>ETD39</t>
  </si>
  <si>
    <t>39.1*19.8*12.58</t>
  </si>
  <si>
    <t>ETD44</t>
  </si>
  <si>
    <t>44*22.3*14.9</t>
  </si>
  <si>
    <t>ETD49</t>
  </si>
  <si>
    <t>48.7*24.7*16.4</t>
  </si>
  <si>
    <t>ETD54</t>
  </si>
  <si>
    <t>54.5*27.8*19.3</t>
  </si>
  <si>
    <t>ETD59</t>
  </si>
  <si>
    <t>59.8*31.2*22.1</t>
  </si>
  <si>
    <t>TYPE  LP  CORE</t>
  </si>
  <si>
    <t>LP22/13</t>
  </si>
  <si>
    <t>25*11.2*12.9</t>
  </si>
  <si>
    <t>LP23/8</t>
  </si>
  <si>
    <t>16.5*11.7*8.7</t>
  </si>
  <si>
    <t>LP32/13</t>
  </si>
  <si>
    <t>25*15.9*12.9</t>
  </si>
  <si>
    <t>TYPE  RM  CORE</t>
  </si>
  <si>
    <t>RM4</t>
  </si>
  <si>
    <t>10.8*5.2*4.45</t>
  </si>
  <si>
    <t>4-6</t>
  </si>
  <si>
    <t>RM5</t>
  </si>
  <si>
    <t>14.3*5.2*6.6</t>
  </si>
  <si>
    <t>RM6</t>
  </si>
  <si>
    <t>17.6*6.2*8</t>
  </si>
  <si>
    <t>RM8</t>
  </si>
  <si>
    <t>22.75*8.2*10.8</t>
  </si>
  <si>
    <t>8-12</t>
  </si>
  <si>
    <t>RM10</t>
  </si>
  <si>
    <t>27.85*9.3*13.25</t>
  </si>
  <si>
    <t>RM12</t>
  </si>
  <si>
    <t>36.75*11.7*16</t>
  </si>
  <si>
    <t>11-12</t>
  </si>
  <si>
    <t>RM14</t>
  </si>
  <si>
    <t>41.6*14.4*18.7</t>
  </si>
  <si>
    <t>TYPE  PTS  CORE</t>
  </si>
  <si>
    <t>PTS14/8</t>
  </si>
  <si>
    <t>14.05*4.15*9.4</t>
  </si>
  <si>
    <t>PTS18/11</t>
  </si>
  <si>
    <t>18*5.3*11.94</t>
  </si>
  <si>
    <t>0.19(25kHZ)</t>
  </si>
  <si>
    <t>PTS23/11</t>
  </si>
  <si>
    <t>22.9*5.5*15.2</t>
  </si>
  <si>
    <t>0.28(25kHZ)</t>
  </si>
  <si>
    <t>PTS23/18</t>
  </si>
  <si>
    <t>22.9*9*15.2</t>
  </si>
  <si>
    <t>0.41(25kHZ)</t>
  </si>
  <si>
    <t>PTS30/19</t>
  </si>
  <si>
    <t>30*9.4*20.2</t>
  </si>
  <si>
    <t>0.87(25kHZ)</t>
  </si>
  <si>
    <t>TYPE  PQ  CORE</t>
  </si>
  <si>
    <t>PQ20/16</t>
  </si>
  <si>
    <t>20.5*8.1*14</t>
  </si>
  <si>
    <t>PQ20/20</t>
  </si>
  <si>
    <t>20.5*10.1*14</t>
  </si>
  <si>
    <t>PQ26/20</t>
  </si>
  <si>
    <t>26.5*10.1*19</t>
  </si>
  <si>
    <t>PQ26/25</t>
  </si>
  <si>
    <t>26.5*12.37*19</t>
  </si>
  <si>
    <t>PQ32/20</t>
  </si>
  <si>
    <t>32*10.27*22</t>
  </si>
  <si>
    <t>PQ32/30</t>
  </si>
  <si>
    <t>32*15.17*22</t>
  </si>
  <si>
    <t>PQ35/35</t>
  </si>
  <si>
    <t>35.1*17.37*26</t>
  </si>
  <si>
    <t>PQ40/40</t>
  </si>
  <si>
    <t>40.5*19.87*28</t>
  </si>
  <si>
    <t>PQ50/50</t>
  </si>
  <si>
    <t>50*24.97*32</t>
  </si>
  <si>
    <t>TYPE  UU  CORE</t>
  </si>
  <si>
    <t>UU8.5</t>
  </si>
  <si>
    <t>8.5*6.35*3.45</t>
  </si>
  <si>
    <t>UU9.8</t>
  </si>
  <si>
    <t>9.8*7.1*2.7</t>
  </si>
  <si>
    <t>UU10.1</t>
  </si>
  <si>
    <t>HS72</t>
  </si>
  <si>
    <t>10.1*7.5*2.9</t>
  </si>
  <si>
    <t>UU10.5</t>
  </si>
  <si>
    <t>10.5*7.9*5</t>
  </si>
  <si>
    <t>UU13.5</t>
  </si>
  <si>
    <t>13.5*9.9*5</t>
  </si>
  <si>
    <t>UU15.22</t>
  </si>
  <si>
    <t>15.2*11.2*6.7</t>
  </si>
  <si>
    <t>UU15.23</t>
  </si>
  <si>
    <t>15.2*11.4*6.4</t>
  </si>
  <si>
    <t>UU15.7</t>
  </si>
  <si>
    <t>15.7*9.7*6</t>
  </si>
  <si>
    <t>UU17</t>
  </si>
  <si>
    <t>17*16.6*6</t>
  </si>
  <si>
    <t>UU19.7</t>
  </si>
  <si>
    <t>19.7*17.7*6</t>
  </si>
  <si>
    <t>UU21</t>
  </si>
  <si>
    <t>20.8*15.8*7.7</t>
  </si>
  <si>
    <t>UU25</t>
  </si>
  <si>
    <t>25*14*7</t>
  </si>
  <si>
    <t>AL1788 Fly-back Design Tool</t>
  </si>
  <si>
    <t>Design Spec.</t>
  </si>
  <si>
    <t>Transformer Turn Ratio</t>
  </si>
  <si>
    <t xml:space="preserve">Transformer Design </t>
  </si>
  <si>
    <t>Hz</t>
  </si>
  <si>
    <t>KHz</t>
  </si>
  <si>
    <t>mH</t>
  </si>
  <si>
    <t>T</t>
  </si>
  <si>
    <t>mm^2</t>
  </si>
  <si>
    <t>A/mm^2</t>
  </si>
  <si>
    <t>Vdc</t>
  </si>
  <si>
    <t>A</t>
  </si>
  <si>
    <t>Ts</t>
  </si>
  <si>
    <t>mm</t>
  </si>
  <si>
    <t>Calculate Current Sense Resistor</t>
  </si>
  <si>
    <t>uS</t>
  </si>
  <si>
    <t>mW</t>
  </si>
  <si>
    <t>Ω</t>
  </si>
  <si>
    <t>Feedback Resistor Design</t>
  </si>
  <si>
    <t>Calculate Output Capacitor Filter</t>
  </si>
  <si>
    <t>Design Data (Operating Parameter Calculation)</t>
  </si>
  <si>
    <t>uF</t>
  </si>
  <si>
    <t>W</t>
    <phoneticPr fontId="16" type="noConversion"/>
  </si>
  <si>
    <t>Note:
1. Select Transformer Type(C5), and select the appropriate transformer type fro the menu.
2. If there is no suitable transformer type in the menu, select "Others Type" at the top of the menu and enter the corresponding specifications in the "Other Type SPEC Input" row.</t>
  </si>
  <si>
    <t>V</t>
    <phoneticPr fontId="13" type="noConversion"/>
  </si>
  <si>
    <t>Component Stress Derating Request</t>
  </si>
  <si>
    <t>Note:</t>
  </si>
  <si>
    <t>Step 1: Enter the electrical parameters</t>
    <phoneticPr fontId="13" type="noConversion"/>
  </si>
  <si>
    <t>Step 4: Calculate the feedback resistance value.</t>
    <phoneticPr fontId="13" type="noConversion"/>
  </si>
  <si>
    <r>
      <t>AC Input Frequency: F</t>
    </r>
    <r>
      <rPr>
        <vertAlign val="subscript"/>
        <sz val="10"/>
        <color indexed="8"/>
        <rFont val="Arial"/>
        <family val="2"/>
      </rPr>
      <t>AC</t>
    </r>
    <phoneticPr fontId="13" type="noConversion"/>
  </si>
  <si>
    <t>Refer to BOBBIN</t>
    <phoneticPr fontId="13" type="noConversion"/>
  </si>
  <si>
    <t>Other Type</t>
    <phoneticPr fontId="13" type="noConversion"/>
  </si>
  <si>
    <t>Other Type SPEC Input</t>
    <phoneticPr fontId="0" type="noConversion"/>
  </si>
  <si>
    <t>Type</t>
    <phoneticPr fontId="13" type="noConversion"/>
  </si>
  <si>
    <t>BOBBIN Drawing</t>
    <phoneticPr fontId="13" type="noConversion"/>
  </si>
  <si>
    <t>Winding Width
(mm)</t>
    <phoneticPr fontId="13" type="noConversion"/>
  </si>
  <si>
    <r>
      <t>Winding Area
(mm</t>
    </r>
    <r>
      <rPr>
        <b/>
        <vertAlign val="superscript"/>
        <sz val="10"/>
        <color indexed="8"/>
        <rFont val="Arial"/>
        <family val="2"/>
      </rPr>
      <t>2</t>
    </r>
    <r>
      <rPr>
        <b/>
        <sz val="10"/>
        <color indexed="8"/>
        <rFont val="Arial"/>
        <family val="2"/>
      </rPr>
      <t>)</t>
    </r>
    <phoneticPr fontId="13" type="noConversion"/>
  </si>
  <si>
    <t>Ts</t>
    <phoneticPr fontId="13" type="noConversion"/>
  </si>
  <si>
    <t>Ts</t>
    <phoneticPr fontId="13" type="noConversion"/>
  </si>
  <si>
    <t>Really Selected NP/NS ( Turn ratio of Primary / Secondary )</t>
    <phoneticPr fontId="13" type="noConversion"/>
  </si>
  <si>
    <t>Really Selected NP/NA ( Turn ratio of Primary / Auxiliary )</t>
    <phoneticPr fontId="13" type="noConversion"/>
  </si>
  <si>
    <t>Kohm</t>
    <phoneticPr fontId="13" type="noConversion"/>
  </si>
  <si>
    <t>V</t>
    <phoneticPr fontId="13" type="noConversion"/>
  </si>
  <si>
    <t>Yes</t>
    <phoneticPr fontId="13" type="noConversion"/>
  </si>
  <si>
    <t>No</t>
    <phoneticPr fontId="13" type="noConversion"/>
  </si>
  <si>
    <r>
      <t>V</t>
    </r>
    <r>
      <rPr>
        <b/>
        <i/>
        <vertAlign val="subscript"/>
        <sz val="11"/>
        <color indexed="8"/>
        <rFont val="Arial"/>
        <family val="2"/>
      </rPr>
      <t>RMS</t>
    </r>
    <phoneticPr fontId="13" type="noConversion"/>
  </si>
  <si>
    <t>1. FSW_MIN (C12) The initial value is set to less than 80KHz, too large will affect the Power Factor, and affect the system efficiency</t>
    <phoneticPr fontId="13" type="noConversion"/>
  </si>
  <si>
    <t>2. FSW_MIN (C12) shall be properly corrected with the transformer parameters. The corrected parameter value shall be close to the verification value</t>
    <phoneticPr fontId="13" type="noConversion"/>
  </si>
  <si>
    <t>Step 2: Set the Transformer Ratio.</t>
    <phoneticPr fontId="13" type="noConversion"/>
  </si>
  <si>
    <t>1. Enter the real selected turns ratio Nt parameter, note that it must be less than the recommended maximum turns ratio (Refer to G19)</t>
    <phoneticPr fontId="13" type="noConversion"/>
  </si>
  <si>
    <t>Step 3: Transformer Design</t>
    <phoneticPr fontId="13" type="noConversion"/>
  </si>
  <si>
    <t>2. If the use of inductance is too large, need to lower FSW_MIN, resulting in increased transformer turns, it will difficult building the Transformer.</t>
    <phoneticPr fontId="13" type="noConversion"/>
  </si>
  <si>
    <r>
      <t>3. If the inductance is too small, will lead to F</t>
    </r>
    <r>
      <rPr>
        <vertAlign val="subscript"/>
        <sz val="11"/>
        <color theme="1"/>
        <rFont val="Arial"/>
        <family val="2"/>
      </rPr>
      <t>SW_MIN</t>
    </r>
    <r>
      <rPr>
        <sz val="11"/>
        <color theme="1"/>
        <rFont val="Arial"/>
        <family val="2"/>
      </rPr>
      <t xml:space="preserve"> too high, resulting in increased switching losses and low efficiency.</t>
    </r>
    <phoneticPr fontId="13" type="noConversion"/>
  </si>
  <si>
    <t>Kohm</t>
    <phoneticPr fontId="13" type="noConversion"/>
  </si>
  <si>
    <t>Ts</t>
    <phoneticPr fontId="13" type="noConversion"/>
  </si>
  <si>
    <t>Go Back to Design Sheet</t>
    <phoneticPr fontId="0" type="noConversion"/>
  </si>
  <si>
    <t>REV_1.0</t>
    <phoneticPr fontId="13" type="noConversion"/>
  </si>
  <si>
    <t>3. Selected whether the system uses Auxiliary Wire Turn (Yes/No).</t>
    <phoneticPr fontId="13" type="noConversion"/>
  </si>
  <si>
    <t>4. If the transformer output coil is used as the voltage feedback, the feedback voltage (G14) must be consistent with the output voltage.</t>
    <phoneticPr fontId="13" type="noConversion"/>
  </si>
  <si>
    <t>5. Output diode maximum voltage (VRRM) and MOSFET maximum voltage (VDS) settings, need to consider the choice of parts maximum derating margin, The "Derating" can be adjusted according to customer request.</t>
    <phoneticPr fontId="13" type="noConversion"/>
  </si>
  <si>
    <r>
      <t xml:space="preserve">6. Click </t>
    </r>
    <r>
      <rPr>
        <b/>
        <u/>
        <sz val="11"/>
        <color theme="1"/>
        <rFont val="Arial"/>
        <family val="2"/>
      </rPr>
      <t>"Select Transformer Type"</t>
    </r>
    <r>
      <rPr>
        <sz val="11"/>
        <color theme="1"/>
        <rFont val="Arial"/>
        <family val="2"/>
      </rPr>
      <t xml:space="preserve"> (B14) to connect "Transformer Design", select the appropriate Transformer Type.</t>
    </r>
    <phoneticPr fontId="13" type="noConversion"/>
  </si>
  <si>
    <t>1. Set the inductance value (C24) with reference to the calculated inductance value (C21)</t>
    <phoneticPr fontId="13" type="noConversion"/>
  </si>
  <si>
    <t>4. Set the maximum flux density (C26), the proposed "0.25T." Increase the maximum magnetic flux density can reduce the number of transformer turns, but need to consider the high temperature (100degC) transformer core saturation maximum magnetic flux parameters.</t>
    <phoneticPr fontId="13" type="noConversion"/>
  </si>
  <si>
    <t>5. If you choose a better reliability of the transformer core material, can increase Magnetic Flux Density (C26). It conducive to reducing the winding turns.</t>
    <phoneticPr fontId="13" type="noConversion"/>
  </si>
  <si>
    <t>6. Calculate the Primary and Secondary wires diameter according to the selected "Wires Current Density (C27)". Set the wires current density: Recommended "6A ~ 8A / mm ^ 2", if the thermal system environment is good, you can increase the current density, which will help reduce the winding diameter.</t>
    <phoneticPr fontId="13" type="noConversion"/>
  </si>
  <si>
    <t>2. Confirm whether the system uses RCM2(C36). If "Yes" is selected, the output have 3% offset voltage.</t>
    <phoneticPr fontId="13" type="noConversion"/>
  </si>
  <si>
    <t>1. Set the output maximum ripple voltage(C46), select the output capacitor</t>
    <phoneticPr fontId="13" type="noConversion"/>
  </si>
  <si>
    <t xml:space="preserve">3. Refer to the calculated result (G36) and select R6(C39), that calculated to the Output Voltage. </t>
    <phoneticPr fontId="13" type="noConversion"/>
  </si>
  <si>
    <t>1. Refer to the calculated result (C42) and select current sense resistor. RCS will limit the transformer maximum current. So, RCS can not less than calculated value (C42), otherwise the transformer will be saturation.</t>
    <phoneticPr fontId="13" type="noConversion"/>
  </si>
  <si>
    <t>Step 6: Selected the Current Resistor (RCS)</t>
    <phoneticPr fontId="13" type="noConversion"/>
  </si>
  <si>
    <t>Yes</t>
    <phoneticPr fontId="13" type="noConversion"/>
  </si>
  <si>
    <t>Step 5: Calculate the Output Capacitor.</t>
    <phoneticPr fontId="13" type="noConversion"/>
  </si>
  <si>
    <t>1. Set the pull-up resistor "R5", it is recommended to use the same or lesser than calculated pull-up resistors (R5a). If no, R5 recommendations can not exceed +/-5%. It will impact the VFB negative voltage protection.</t>
  </si>
  <si>
    <t>Yes</t>
    <phoneticPr fontId="13" type="noConversion"/>
  </si>
  <si>
    <r>
      <t>Instructions for use: 
This design tool for AL1788 PFC PSR Flyback Transformer design. The software (</t>
    </r>
    <r>
      <rPr>
        <b/>
        <sz val="11"/>
        <color indexed="12"/>
        <rFont val="Arial"/>
        <family val="2"/>
      </rPr>
      <t>blue font</t>
    </r>
    <r>
      <rPr>
        <sz val="11"/>
        <color indexed="8"/>
        <rFont val="Arial"/>
        <family val="2"/>
      </rPr>
      <t>) is filled in according to the actual electrical parameters, the system will automatically calculate the relevant component parameters (</t>
    </r>
    <r>
      <rPr>
        <b/>
        <sz val="11"/>
        <color rgb="FF660066"/>
        <rFont val="Arial"/>
        <family val="2"/>
      </rPr>
      <t>purple font</t>
    </r>
    <r>
      <rPr>
        <sz val="11"/>
        <color indexed="8"/>
        <rFont val="Arial"/>
        <family val="2"/>
      </rPr>
      <t>) and system operating parameters (</t>
    </r>
    <r>
      <rPr>
        <b/>
        <sz val="11"/>
        <color indexed="60"/>
        <rFont val="Arial"/>
        <family val="2"/>
      </rPr>
      <t>brown font</t>
    </r>
    <r>
      <rPr>
        <sz val="11"/>
        <color indexed="8"/>
        <rFont val="Arial"/>
        <family val="2"/>
      </rPr>
      <t>). If the grid appears (</t>
    </r>
    <r>
      <rPr>
        <b/>
        <sz val="11"/>
        <color indexed="14"/>
        <rFont val="Arial"/>
        <family val="2"/>
      </rPr>
      <t>pink color)</t>
    </r>
    <r>
      <rPr>
        <sz val="11"/>
        <color indexed="8"/>
        <rFont val="Arial"/>
        <family val="2"/>
      </rPr>
      <t xml:space="preserve"> indicates that the selected specifications have been exceeded, it is recommended to modify.
</t>
    </r>
    <r>
      <rPr>
        <sz val="11"/>
        <color indexed="8"/>
        <rFont val="細明體"/>
        <family val="3"/>
        <charset val="136"/>
      </rPr>
      <t/>
    </r>
  </si>
  <si>
    <r>
      <t>Minimum Input Voltage</t>
    </r>
    <r>
      <rPr>
        <sz val="11"/>
        <color indexed="8"/>
        <rFont val="Arial"/>
        <family val="2"/>
      </rPr>
      <t>: V</t>
    </r>
    <r>
      <rPr>
        <vertAlign val="subscript"/>
        <sz val="11"/>
        <color indexed="8"/>
        <rFont val="Arial"/>
        <family val="2"/>
      </rPr>
      <t>IN_MIN</t>
    </r>
  </si>
  <si>
    <r>
      <t>Maximum Input Voltage</t>
    </r>
    <r>
      <rPr>
        <sz val="11"/>
        <color indexed="8"/>
        <rFont val="Arial"/>
        <family val="2"/>
      </rPr>
      <t>: V</t>
    </r>
    <r>
      <rPr>
        <vertAlign val="subscript"/>
        <sz val="11"/>
        <color indexed="8"/>
        <rFont val="Arial"/>
        <family val="2"/>
      </rPr>
      <t>IN_MAX</t>
    </r>
  </si>
  <si>
    <r>
      <t>AC Input Frequency</t>
    </r>
    <r>
      <rPr>
        <sz val="11"/>
        <color indexed="8"/>
        <rFont val="Arial"/>
        <family val="2"/>
      </rPr>
      <t>: F</t>
    </r>
    <r>
      <rPr>
        <vertAlign val="subscript"/>
        <sz val="11"/>
        <color indexed="8"/>
        <rFont val="Arial"/>
        <family val="2"/>
      </rPr>
      <t>AC</t>
    </r>
  </si>
  <si>
    <r>
      <t>Full Load Minimum Operating Frequency</t>
    </r>
    <r>
      <rPr>
        <sz val="11"/>
        <color indexed="8"/>
        <rFont val="Arial"/>
        <family val="2"/>
      </rPr>
      <t>: F</t>
    </r>
    <r>
      <rPr>
        <vertAlign val="subscript"/>
        <sz val="11"/>
        <color indexed="8"/>
        <rFont val="Arial"/>
        <family val="2"/>
      </rPr>
      <t>SW_MIN</t>
    </r>
  </si>
  <si>
    <r>
      <t>Input Power</t>
    </r>
    <r>
      <rPr>
        <sz val="11"/>
        <color indexed="8"/>
        <rFont val="Arial"/>
        <family val="2"/>
      </rPr>
      <t>: PIN</t>
    </r>
  </si>
  <si>
    <t>Select Transformer Type</t>
  </si>
  <si>
    <r>
      <t>Real Selected Turn Ratio</t>
    </r>
    <r>
      <rPr>
        <sz val="11"/>
        <color indexed="8"/>
        <rFont val="Arial"/>
        <family val="2"/>
      </rPr>
      <t>: Nt (Np/Ns)</t>
    </r>
  </si>
  <si>
    <r>
      <t>Calculate Primary Inductance</t>
    </r>
    <r>
      <rPr>
        <sz val="11"/>
        <color indexed="8"/>
        <rFont val="Arial"/>
        <family val="2"/>
      </rPr>
      <t>: Lp</t>
    </r>
  </si>
  <si>
    <r>
      <t>Real Selected Primary Inductance</t>
    </r>
    <r>
      <rPr>
        <sz val="11"/>
        <color indexed="8"/>
        <rFont val="Arial"/>
        <family val="2"/>
      </rPr>
      <t>: Lp</t>
    </r>
  </si>
  <si>
    <r>
      <t>Set Maximum Magnetic Flux Density</t>
    </r>
    <r>
      <rPr>
        <sz val="11"/>
        <color indexed="8"/>
        <rFont val="Arial"/>
        <family val="2"/>
      </rPr>
      <t>: Bmax</t>
    </r>
  </si>
  <si>
    <r>
      <t>Set the Wires Current Density</t>
    </r>
    <r>
      <rPr>
        <sz val="11"/>
        <color indexed="8"/>
        <rFont val="Arial"/>
        <family val="2"/>
      </rPr>
      <t xml:space="preserve"> (typ.=6A~8A/mm^2)</t>
    </r>
  </si>
  <si>
    <r>
      <t>Transformer Transform Efficiency</t>
    </r>
    <r>
      <rPr>
        <sz val="11"/>
        <color indexed="8"/>
        <rFont val="Arial"/>
        <family val="2"/>
      </rPr>
      <t>: EFF_TR</t>
    </r>
  </si>
  <si>
    <r>
      <t>Calculate Peak Voltage of V</t>
    </r>
    <r>
      <rPr>
        <vertAlign val="subscript"/>
        <sz val="11"/>
        <color indexed="8"/>
        <rFont val="Arial"/>
        <family val="2"/>
      </rPr>
      <t>IN_MIN</t>
    </r>
    <r>
      <rPr>
        <sz val="11"/>
        <color indexed="8"/>
        <rFont val="Arial"/>
        <family val="2"/>
      </rPr>
      <t>: V</t>
    </r>
    <r>
      <rPr>
        <vertAlign val="subscript"/>
        <sz val="11"/>
        <color indexed="8"/>
        <rFont val="Arial"/>
        <family val="2"/>
      </rPr>
      <t>BUS_Peak_VIN_MIN</t>
    </r>
  </si>
  <si>
    <r>
      <t>Maximum Drain-Source Voltage(MOS</t>
    </r>
    <r>
      <rPr>
        <sz val="11"/>
        <color indexed="8"/>
        <rFont val="Arial"/>
        <family val="2"/>
      </rPr>
      <t>): V</t>
    </r>
    <r>
      <rPr>
        <vertAlign val="subscript"/>
        <sz val="11"/>
        <color indexed="8"/>
        <rFont val="Arial"/>
        <family val="2"/>
      </rPr>
      <t>DS_MAX</t>
    </r>
  </si>
  <si>
    <r>
      <t>Calculate Primary Current Sense Resistor</t>
    </r>
    <r>
      <rPr>
        <sz val="11"/>
        <color indexed="8"/>
        <rFont val="Arial"/>
        <family val="2"/>
      </rPr>
      <t>: Rcs</t>
    </r>
  </si>
  <si>
    <t xml:space="preserve">Set Maximum Output Voltage Ripple </t>
  </si>
  <si>
    <r>
      <t>Select  Upper Feedback Resistor</t>
    </r>
    <r>
      <rPr>
        <sz val="11"/>
        <color indexed="8"/>
        <rFont val="Arial"/>
        <family val="2"/>
      </rPr>
      <t>: R5 (&gt;R5a)</t>
    </r>
  </si>
  <si>
    <r>
      <t>Select Down Feedback Resistor</t>
    </r>
    <r>
      <rPr>
        <sz val="11"/>
        <color indexed="8"/>
        <rFont val="Arial"/>
        <family val="2"/>
      </rPr>
      <t>: R6</t>
    </r>
  </si>
  <si>
    <t xml:space="preserve">Feedback wire turns </t>
  </si>
  <si>
    <r>
      <t>Confirm whether the system uses RCM2</t>
    </r>
    <r>
      <rPr>
        <sz val="11"/>
        <color theme="1"/>
        <rFont val="Arial"/>
        <family val="2"/>
      </rPr>
      <t xml:space="preserve"> (330Kohm)</t>
    </r>
  </si>
  <si>
    <r>
      <t>Real Selected Transformer Primary wire turns</t>
    </r>
    <r>
      <rPr>
        <sz val="11"/>
        <color theme="1"/>
        <rFont val="Arial"/>
        <family val="2"/>
      </rPr>
      <t xml:space="preserve"> (NP)</t>
    </r>
  </si>
  <si>
    <r>
      <t>Real Selected Transformer Secondary wire turns</t>
    </r>
    <r>
      <rPr>
        <sz val="11"/>
        <color theme="1"/>
        <rFont val="Arial"/>
        <family val="2"/>
      </rPr>
      <t xml:space="preserve"> (NS)</t>
    </r>
  </si>
  <si>
    <r>
      <t>Real Selected Transformer Auxiliary wire turns</t>
    </r>
    <r>
      <rPr>
        <sz val="11"/>
        <color theme="1"/>
        <rFont val="Arial"/>
        <family val="2"/>
      </rPr>
      <t xml:space="preserve"> (NA)</t>
    </r>
  </si>
  <si>
    <r>
      <t>Primary Maximum RMS Current</t>
    </r>
    <r>
      <rPr>
        <sz val="11"/>
        <color indexed="8"/>
        <rFont val="Arial"/>
        <family val="2"/>
      </rPr>
      <t>: I</t>
    </r>
    <r>
      <rPr>
        <vertAlign val="subscript"/>
        <sz val="11"/>
        <color indexed="8"/>
        <rFont val="Arial"/>
        <family val="2"/>
      </rPr>
      <t>P_RMS</t>
    </r>
  </si>
  <si>
    <r>
      <t>Primary Maximum RMS Peak Current</t>
    </r>
    <r>
      <rPr>
        <sz val="11"/>
        <color indexed="8"/>
        <rFont val="Arial"/>
        <family val="2"/>
      </rPr>
      <t>: I</t>
    </r>
    <r>
      <rPr>
        <vertAlign val="subscript"/>
        <sz val="11"/>
        <color indexed="8"/>
        <rFont val="Arial"/>
        <family val="2"/>
      </rPr>
      <t>P_RMS_PK</t>
    </r>
  </si>
  <si>
    <r>
      <t>Primary Maximum Switching Peak Current(MOS</t>
    </r>
    <r>
      <rPr>
        <sz val="11"/>
        <color indexed="8"/>
        <rFont val="Arial"/>
        <family val="2"/>
      </rPr>
      <t>): I</t>
    </r>
    <r>
      <rPr>
        <vertAlign val="subscript"/>
        <sz val="11"/>
        <color indexed="8"/>
        <rFont val="Arial"/>
        <family val="2"/>
      </rPr>
      <t>P_PK</t>
    </r>
  </si>
  <si>
    <r>
      <t>Output Voltage</t>
    </r>
    <r>
      <rPr>
        <sz val="11"/>
        <color indexed="8"/>
        <rFont val="Arial"/>
        <family val="2"/>
      </rPr>
      <t>: Vo</t>
    </r>
  </si>
  <si>
    <r>
      <t>Maximum Output Current</t>
    </r>
    <r>
      <rPr>
        <sz val="11"/>
        <color indexed="8"/>
        <rFont val="Arial"/>
        <family val="2"/>
      </rPr>
      <t>: Io</t>
    </r>
  </si>
  <si>
    <r>
      <t>Output Diodes Forward Voltage</t>
    </r>
    <r>
      <rPr>
        <sz val="11"/>
        <color indexed="8"/>
        <rFont val="Arial"/>
        <family val="2"/>
      </rPr>
      <t>: V</t>
    </r>
    <r>
      <rPr>
        <vertAlign val="subscript"/>
        <sz val="11"/>
        <color indexed="8"/>
        <rFont val="Arial"/>
        <family val="2"/>
      </rPr>
      <t>DF</t>
    </r>
  </si>
  <si>
    <t>Confirm whether the system uses Auxiliary Wire Turns</t>
  </si>
  <si>
    <r>
      <t>Preset Feedback or Auxiliary Voltage</t>
    </r>
    <r>
      <rPr>
        <sz val="11"/>
        <color indexed="8"/>
        <rFont val="Arial"/>
        <family val="2"/>
      </rPr>
      <t>: V</t>
    </r>
    <r>
      <rPr>
        <vertAlign val="subscript"/>
        <sz val="11"/>
        <color indexed="8"/>
        <rFont val="Arial"/>
        <family val="2"/>
      </rPr>
      <t>PRE-AUX</t>
    </r>
  </si>
  <si>
    <r>
      <t>System Efficiency</t>
    </r>
    <r>
      <rPr>
        <sz val="11"/>
        <color indexed="8"/>
        <rFont val="Arial"/>
        <family val="2"/>
      </rPr>
      <t>: EFF_System</t>
    </r>
  </si>
  <si>
    <r>
      <t>Calculate Maximum Turn Ratio</t>
    </r>
    <r>
      <rPr>
        <sz val="11"/>
        <color indexed="8"/>
        <rFont val="Arial"/>
        <family val="2"/>
      </rPr>
      <t>: Nt(Np/Ns)</t>
    </r>
  </si>
  <si>
    <r>
      <t>Check CS Open-Protection</t>
    </r>
    <r>
      <rPr>
        <sz val="11"/>
        <color indexed="8"/>
        <rFont val="細明體"/>
        <family val="3"/>
        <charset val="136"/>
      </rPr>
      <t/>
    </r>
  </si>
  <si>
    <r>
      <t>Calculate Duty Cycle @ V</t>
    </r>
    <r>
      <rPr>
        <vertAlign val="subscript"/>
        <sz val="11"/>
        <color indexed="8"/>
        <rFont val="Arial"/>
        <family val="2"/>
      </rPr>
      <t>IN_MIN_PK</t>
    </r>
  </si>
  <si>
    <t xml:space="preserve">Transformer Type </t>
  </si>
  <si>
    <r>
      <t>Transformer Core Effective Ares</t>
    </r>
    <r>
      <rPr>
        <sz val="11"/>
        <color indexed="8"/>
        <rFont val="Arial"/>
        <family val="2"/>
      </rPr>
      <t>: Ae</t>
    </r>
  </si>
  <si>
    <r>
      <t>Calculate Transformer Primary Wire Turns</t>
    </r>
    <r>
      <rPr>
        <sz val="11"/>
        <color indexed="8"/>
        <rFont val="細明體"/>
        <family val="3"/>
        <charset val="136"/>
      </rPr>
      <t/>
    </r>
  </si>
  <si>
    <t>Calculate Transformer Secondary Wire Turns</t>
  </si>
  <si>
    <r>
      <t>Calculate Transformer Auxiliary Wire Turns</t>
    </r>
    <r>
      <rPr>
        <sz val="11"/>
        <color indexed="8"/>
        <rFont val="細明體"/>
        <family val="3"/>
        <charset val="136"/>
      </rPr>
      <t/>
    </r>
  </si>
  <si>
    <r>
      <t>Calculate Transformer Primary Wire Diameter</t>
    </r>
    <r>
      <rPr>
        <sz val="11"/>
        <color indexed="8"/>
        <rFont val="細明體"/>
        <family val="3"/>
        <charset val="136"/>
      </rPr>
      <t/>
    </r>
  </si>
  <si>
    <r>
      <t>Calculate Transformer Secondary wire Diameter</t>
    </r>
    <r>
      <rPr>
        <sz val="11"/>
        <color indexed="8"/>
        <rFont val="細明體"/>
        <family val="3"/>
        <charset val="136"/>
      </rPr>
      <t/>
    </r>
  </si>
  <si>
    <r>
      <t>Calculate Minimum Upper Resistor</t>
    </r>
    <r>
      <rPr>
        <sz val="11"/>
        <color indexed="8"/>
        <rFont val="Arial"/>
        <family val="2"/>
      </rPr>
      <t>: R5a</t>
    </r>
  </si>
  <si>
    <r>
      <t>Calculate Down Feedback Resistor</t>
    </r>
    <r>
      <rPr>
        <sz val="11"/>
        <color indexed="8"/>
        <rFont val="Arial"/>
        <family val="2"/>
      </rPr>
      <t>: R6a</t>
    </r>
  </si>
  <si>
    <r>
      <t>Calculate Feedback or Auxiliary Voltage</t>
    </r>
    <r>
      <rPr>
        <sz val="11"/>
        <color indexed="8"/>
        <rFont val="Arial"/>
        <family val="2"/>
      </rPr>
      <t>: V</t>
    </r>
    <r>
      <rPr>
        <vertAlign val="subscript"/>
        <sz val="11"/>
        <color indexed="8"/>
        <rFont val="Arial"/>
        <family val="2"/>
      </rPr>
      <t>AUX</t>
    </r>
  </si>
  <si>
    <t>Calculate Output Voltage of Real Selected Turns</t>
  </si>
  <si>
    <t>Calculation Output Capacitor Filter</t>
  </si>
  <si>
    <r>
      <t>Calculate Rcs Power Consumption</t>
    </r>
    <r>
      <rPr>
        <sz val="11"/>
        <color indexed="8"/>
        <rFont val="細明體"/>
        <family val="3"/>
        <charset val="136"/>
      </rPr>
      <t/>
    </r>
  </si>
  <si>
    <r>
      <t>Calculate Peak Voltage of V</t>
    </r>
    <r>
      <rPr>
        <vertAlign val="subscript"/>
        <sz val="11"/>
        <color indexed="8"/>
        <rFont val="Arial"/>
        <family val="2"/>
      </rPr>
      <t>IN_MAX</t>
    </r>
    <r>
      <rPr>
        <sz val="11"/>
        <color indexed="8"/>
        <rFont val="Arial"/>
        <family val="2"/>
      </rPr>
      <t>: V</t>
    </r>
    <r>
      <rPr>
        <vertAlign val="subscript"/>
        <sz val="11"/>
        <color indexed="8"/>
        <rFont val="Arial"/>
        <family val="2"/>
      </rPr>
      <t>BUS_Peak_VIN_MAX</t>
    </r>
  </si>
  <si>
    <r>
      <t>Calculate Output Diode Maximum Voltage</t>
    </r>
    <r>
      <rPr>
        <sz val="11"/>
        <color indexed="8"/>
        <rFont val="Arial"/>
        <family val="2"/>
      </rPr>
      <t>: V</t>
    </r>
    <r>
      <rPr>
        <vertAlign val="subscript"/>
        <sz val="11"/>
        <color indexed="8"/>
        <rFont val="Arial"/>
        <family val="2"/>
      </rPr>
      <t>SD_MAX</t>
    </r>
  </si>
  <si>
    <r>
      <t>Calculate Output Diode Maximum Peak Current</t>
    </r>
    <r>
      <rPr>
        <sz val="11"/>
        <color indexed="8"/>
        <rFont val="Arial"/>
        <family val="2"/>
      </rPr>
      <t>: I</t>
    </r>
    <r>
      <rPr>
        <vertAlign val="subscript"/>
        <sz val="11"/>
        <color indexed="8"/>
        <rFont val="Arial"/>
        <family val="2"/>
      </rPr>
      <t>S_PK</t>
    </r>
  </si>
  <si>
    <r>
      <t>Calculate Output Diode Maximum RMS Current</t>
    </r>
    <r>
      <rPr>
        <sz val="11"/>
        <color indexed="8"/>
        <rFont val="Arial"/>
        <family val="2"/>
      </rPr>
      <t>: I</t>
    </r>
    <r>
      <rPr>
        <vertAlign val="subscript"/>
        <sz val="11"/>
        <color indexed="8"/>
        <rFont val="Arial"/>
        <family val="2"/>
      </rPr>
      <t>S_RMS</t>
    </r>
  </si>
  <si>
    <r>
      <t>Calculate Maximum Switch Turn On Time</t>
    </r>
    <r>
      <rPr>
        <sz val="11"/>
        <color indexed="8"/>
        <rFont val="Arial"/>
        <family val="2"/>
      </rPr>
      <t>: T</t>
    </r>
    <r>
      <rPr>
        <vertAlign val="subscript"/>
        <sz val="11"/>
        <color indexed="8"/>
        <rFont val="Arial"/>
        <family val="2"/>
      </rPr>
      <t>ON_MAX</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</si>
</sst>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000"/>
    <numFmt numFmtId="166" formatCode="0.0_);[Red]\(0.0\)"/>
    <numFmt numFmtId="167" formatCode="0.000_ "/>
    <numFmt numFmtId="168" formatCode="0.00_ "/>
    <numFmt numFmtId="169" formatCode="0_ "/>
    <numFmt numFmtId="170" formatCode="0.0_ "/>
    <numFmt numFmtId="171" formatCode="0.00_);[Red]\(0.00\)"/>
    <numFmt numFmtId="172" formatCode="0&quot;Hz&quot;"/>
  </numFmts>
  <fonts count="56">
    <font>
      <sz val="12"/>
      <color theme="1"/>
      <name val="Calibri"/>
      <family val="1"/>
      <charset val="136"/>
      <scheme val="minor"/>
    </font>
    <font>
      <sz val="12"/>
      <color theme="1"/>
      <name val="Arial"/>
      <family val="2"/>
      <charset val="136"/>
    </font>
    <font>
      <sz val="12"/>
      <name val="宋体"/>
      <family val="3"/>
      <charset val="136"/>
    </font>
    <font>
      <sz val="12"/>
      <name val="Arial"/>
      <family val="2"/>
    </font>
    <font>
      <sz val="11"/>
      <name val="新細明體"/>
      <family val="1"/>
      <charset val="136"/>
    </font>
    <font>
      <sz val="20"/>
      <color indexed="8"/>
      <name val="Arial"/>
      <family val="2"/>
    </font>
    <font>
      <b/>
      <sz val="10"/>
      <color indexed="8"/>
      <name val="Arial"/>
      <family val="2"/>
    </font>
    <font>
      <b/>
      <vertAlign val="subscript"/>
      <sz val="10"/>
      <color indexed="8"/>
      <name val="Arial"/>
      <family val="2"/>
    </font>
    <font>
      <b/>
      <sz val="10"/>
      <color indexed="8"/>
      <name val="宋体"/>
    </font>
    <font>
      <b/>
      <vertAlign val="superscript"/>
      <sz val="10"/>
      <color indexed="8"/>
      <name val="Arial"/>
      <family val="2"/>
    </font>
    <font>
      <b/>
      <sz val="12"/>
      <name val="Arial"/>
      <family val="2"/>
    </font>
    <font>
      <b/>
      <sz val="10"/>
      <name val="Arial"/>
      <family val="2"/>
    </font>
    <font>
      <sz val="10"/>
      <color indexed="8"/>
      <name val="Arial"/>
      <family val="2"/>
    </font>
    <font>
      <sz val="9"/>
      <name val="新細明體"/>
      <family val="1"/>
      <charset val="136"/>
    </font>
    <font>
      <sz val="11"/>
      <color indexed="8"/>
      <name val="Arial"/>
      <family val="2"/>
    </font>
    <font>
      <b/>
      <sz val="11"/>
      <color indexed="12"/>
      <name val="Arial"/>
      <family val="2"/>
    </font>
    <font>
      <sz val="9"/>
      <name val="Arial"/>
      <family val="2"/>
    </font>
    <font>
      <b/>
      <sz val="11"/>
      <color indexed="8"/>
      <name val="Arial"/>
      <family val="2"/>
    </font>
    <font>
      <vertAlign val="subscript"/>
      <sz val="11"/>
      <color indexed="8"/>
      <name val="Arial"/>
      <family val="2"/>
    </font>
    <font>
      <b/>
      <strike/>
      <sz val="11"/>
      <color indexed="8"/>
      <name val="Arial"/>
      <family val="2"/>
    </font>
    <font>
      <b/>
      <sz val="11"/>
      <color indexed="14"/>
      <name val="Arial"/>
      <family val="2"/>
    </font>
    <font>
      <b/>
      <i/>
      <sz val="11"/>
      <color indexed="8"/>
      <name val="Arial"/>
      <family val="2"/>
    </font>
    <font>
      <b/>
      <sz val="11"/>
      <color indexed="60"/>
      <name val="Arial"/>
      <family val="2"/>
    </font>
    <font>
      <vertAlign val="subscript"/>
      <sz val="10"/>
      <color indexed="8"/>
      <name val="Arial"/>
      <family val="2"/>
    </font>
    <font>
      <b/>
      <sz val="20"/>
      <name val="Arial"/>
      <family val="2"/>
    </font>
    <font>
      <sz val="12"/>
      <color theme="1"/>
      <name val="Calibri"/>
      <family val="1"/>
      <charset val="136"/>
      <scheme val="minor"/>
    </font>
    <font>
      <u/>
      <sz val="12"/>
      <color theme="10"/>
      <name val="Calibri"/>
      <family val="1"/>
      <charset val="136"/>
      <scheme val="minor"/>
    </font>
    <font>
      <sz val="11"/>
      <color theme="1"/>
      <name val="Calibri"/>
      <family val="1"/>
      <charset val="136"/>
      <scheme val="minor"/>
    </font>
    <font>
      <b/>
      <sz val="12"/>
      <color rgb="FFFF0000"/>
      <name val="Arial"/>
      <family val="2"/>
    </font>
    <font>
      <sz val="10"/>
      <color theme="1"/>
      <name val="Arial"/>
      <family val="2"/>
    </font>
    <font>
      <b/>
      <sz val="11"/>
      <color rgb="FF0000FF"/>
      <name val="Arial"/>
      <family val="2"/>
    </font>
    <font>
      <b/>
      <sz val="11"/>
      <color rgb="FF800080"/>
      <name val="Arial"/>
      <family val="2"/>
    </font>
    <font>
      <sz val="11"/>
      <color theme="1"/>
      <name val="Arial"/>
      <family val="2"/>
    </font>
    <font>
      <sz val="12"/>
      <color theme="1"/>
      <name val="Arial"/>
      <family val="2"/>
    </font>
    <font>
      <b/>
      <sz val="11"/>
      <color rgb="FF7030A0"/>
      <name val="Arial"/>
      <family val="2"/>
    </font>
    <font>
      <b/>
      <sz val="11"/>
      <color theme="9" tint="-0.499984740745262"/>
      <name val="Arial"/>
      <family val="2"/>
    </font>
    <font>
      <b/>
      <sz val="12"/>
      <color theme="1"/>
      <name val="Arial"/>
      <family val="2"/>
    </font>
    <font>
      <b/>
      <sz val="11"/>
      <color theme="1"/>
      <name val="Arial"/>
      <family val="2"/>
    </font>
    <font>
      <b/>
      <sz val="14"/>
      <color theme="0"/>
      <name val="Arial"/>
      <family val="2"/>
    </font>
    <font>
      <sz val="20"/>
      <color theme="1"/>
      <name val="Arial"/>
      <family val="2"/>
    </font>
    <font>
      <b/>
      <sz val="20"/>
      <color rgb="FF0000FF"/>
      <name val="Arial"/>
      <family val="2"/>
    </font>
    <font>
      <sz val="12"/>
      <color rgb="FF0000FF"/>
      <name val="Arial"/>
      <family val="2"/>
    </font>
    <font>
      <sz val="12"/>
      <color theme="1"/>
      <name val="Calibri"/>
      <family val="2"/>
      <charset val="136"/>
      <scheme val="minor"/>
    </font>
    <font>
      <b/>
      <sz val="10"/>
      <color theme="1"/>
      <name val="Arial"/>
      <family val="2"/>
    </font>
    <font>
      <sz val="10"/>
      <name val="Arial"/>
      <family val="2"/>
    </font>
    <font>
      <b/>
      <u/>
      <sz val="16"/>
      <color theme="10"/>
      <name val="Arial"/>
      <family val="2"/>
    </font>
    <font>
      <b/>
      <u/>
      <sz val="16"/>
      <color theme="0"/>
      <name val="Arial"/>
      <family val="2"/>
    </font>
    <font>
      <b/>
      <u/>
      <sz val="11"/>
      <color theme="1"/>
      <name val="Arial"/>
      <family val="2"/>
    </font>
    <font>
      <vertAlign val="subscript"/>
      <sz val="11"/>
      <color theme="1"/>
      <name val="Arial"/>
      <family val="2"/>
    </font>
    <font>
      <b/>
      <u/>
      <sz val="12"/>
      <color theme="10"/>
      <name val="Arial"/>
      <family val="2"/>
    </font>
    <font>
      <b/>
      <u/>
      <sz val="10"/>
      <name val="Arial"/>
      <family val="2"/>
    </font>
    <font>
      <b/>
      <sz val="11"/>
      <color rgb="FF660066"/>
      <name val="Arial"/>
      <family val="2"/>
    </font>
    <font>
      <b/>
      <sz val="12"/>
      <color rgb="FF660066"/>
      <name val="Arial"/>
      <family val="2"/>
    </font>
    <font>
      <b/>
      <i/>
      <vertAlign val="subscript"/>
      <sz val="11"/>
      <color indexed="8"/>
      <name val="Arial"/>
      <family val="2"/>
    </font>
    <font>
      <b/>
      <i/>
      <sz val="11"/>
      <color theme="1"/>
      <name val="Arial"/>
      <family val="2"/>
    </font>
    <font>
      <sz val="11"/>
      <color indexed="8"/>
      <name val="細明體"/>
      <family val="3"/>
      <charset val="136"/>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0000FF"/>
        <bgColor indexed="64"/>
      </patternFill>
    </fill>
    <fill>
      <patternFill patternType="solid">
        <fgColor rgb="FF92D050"/>
        <bgColor indexed="64"/>
      </patternFill>
    </fill>
    <fill>
      <patternFill patternType="solid">
        <fgColor theme="0" tint="-0.249977111117893"/>
        <bgColor indexed="64"/>
      </patternFill>
    </fill>
  </fills>
  <borders count="4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s>
  <cellStyleXfs count="11">
    <xf numFmtId="0" fontId="0"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 fillId="0" borderId="0"/>
    <xf numFmtId="0" fontId="27" fillId="0" borderId="0">
      <alignment vertical="center"/>
    </xf>
    <xf numFmtId="0" fontId="2" fillId="0" borderId="0"/>
    <xf numFmtId="0" fontId="26" fillId="0" borderId="0" applyNumberFormat="0" applyFill="0" applyBorder="0" applyAlignment="0" applyProtection="0">
      <alignment vertical="center"/>
    </xf>
    <xf numFmtId="0" fontId="42" fillId="0" borderId="0">
      <alignment vertical="center"/>
    </xf>
    <xf numFmtId="0" fontId="1" fillId="0" borderId="0">
      <alignment vertical="center"/>
    </xf>
  </cellStyleXfs>
  <cellXfs count="235">
    <xf numFmtId="0" fontId="0" fillId="0" borderId="0" xfId="0"/>
    <xf numFmtId="0" fontId="3" fillId="0" borderId="0" xfId="7" applyFont="1"/>
    <xf numFmtId="164" fontId="3" fillId="0" borderId="0" xfId="7" applyNumberFormat="1" applyFont="1"/>
    <xf numFmtId="0" fontId="6" fillId="2" borderId="1" xfId="5" applyFont="1" applyFill="1" applyBorder="1" applyAlignment="1">
      <alignment horizontal="center" vertical="center"/>
    </xf>
    <xf numFmtId="0" fontId="6" fillId="2" borderId="1" xfId="5" applyFont="1" applyFill="1" applyBorder="1" applyAlignment="1">
      <alignment horizontal="center" vertical="center" wrapText="1"/>
    </xf>
    <xf numFmtId="164" fontId="6" fillId="2" borderId="1" xfId="5" applyNumberFormat="1" applyFont="1" applyFill="1" applyBorder="1" applyAlignment="1">
      <alignment horizontal="center" vertical="center" wrapText="1"/>
    </xf>
    <xf numFmtId="0" fontId="6" fillId="2" borderId="2" xfId="5" applyFont="1" applyFill="1" applyBorder="1" applyAlignment="1">
      <alignment horizontal="center"/>
    </xf>
    <xf numFmtId="0" fontId="6" fillId="2" borderId="2" xfId="5" applyFont="1" applyFill="1" applyBorder="1" applyAlignment="1">
      <alignment horizontal="center" vertical="center"/>
    </xf>
    <xf numFmtId="164" fontId="6" fillId="2" borderId="2" xfId="5" applyNumberFormat="1" applyFont="1" applyFill="1" applyBorder="1" applyAlignment="1">
      <alignment horizontal="center" vertical="center"/>
    </xf>
    <xf numFmtId="0" fontId="10" fillId="3" borderId="3" xfId="7" applyFont="1" applyFill="1" applyBorder="1" applyAlignment="1">
      <alignment horizontal="center" vertical="center" wrapText="1"/>
    </xf>
    <xf numFmtId="0" fontId="11" fillId="0" borderId="0" xfId="7" applyFont="1" applyAlignment="1">
      <alignment horizontal="center" vertical="center"/>
    </xf>
    <xf numFmtId="0" fontId="3" fillId="0" borderId="6" xfId="7" applyFont="1" applyBorder="1"/>
    <xf numFmtId="0" fontId="3" fillId="0" borderId="7" xfId="7" applyFont="1" applyBorder="1"/>
    <xf numFmtId="0" fontId="6" fillId="0" borderId="0" xfId="5" applyFont="1" applyFill="1" applyAlignment="1">
      <alignment horizontal="centerContinuous"/>
    </xf>
    <xf numFmtId="164" fontId="6" fillId="0" borderId="0" xfId="5" applyNumberFormat="1" applyFont="1" applyFill="1" applyAlignment="1">
      <alignment horizontal="centerContinuous"/>
    </xf>
    <xf numFmtId="0" fontId="6" fillId="0" borderId="8" xfId="5" applyFont="1" applyFill="1" applyBorder="1" applyAlignment="1">
      <alignment horizontal="center" vertical="center"/>
    </xf>
    <xf numFmtId="0" fontId="6" fillId="0" borderId="8" xfId="5" applyFont="1" applyFill="1" applyBorder="1" applyAlignment="1">
      <alignment horizontal="center" vertical="center" wrapText="1"/>
    </xf>
    <xf numFmtId="164" fontId="6" fillId="0" borderId="8" xfId="5" applyNumberFormat="1" applyFont="1" applyFill="1" applyBorder="1" applyAlignment="1">
      <alignment horizontal="center" vertical="center" wrapText="1"/>
    </xf>
    <xf numFmtId="0" fontId="6" fillId="0" borderId="1" xfId="5" applyFont="1" applyFill="1" applyBorder="1" applyAlignment="1"/>
    <xf numFmtId="0" fontId="6" fillId="0" borderId="1" xfId="5" applyFont="1" applyFill="1" applyBorder="1" applyAlignment="1">
      <alignment horizontal="center"/>
    </xf>
    <xf numFmtId="0" fontId="6" fillId="0" borderId="1" xfId="5" applyFont="1" applyFill="1" applyBorder="1" applyAlignment="1">
      <alignment horizontal="center" vertical="center"/>
    </xf>
    <xf numFmtId="164" fontId="6" fillId="0" borderId="1" xfId="5" applyNumberFormat="1" applyFont="1" applyFill="1" applyBorder="1" applyAlignment="1">
      <alignment horizontal="center" vertical="center"/>
    </xf>
    <xf numFmtId="0" fontId="6" fillId="0" borderId="9" xfId="5" applyFont="1" applyFill="1" applyBorder="1" applyAlignment="1">
      <alignment horizontal="center" vertical="center"/>
    </xf>
    <xf numFmtId="0" fontId="6" fillId="0" borderId="4" xfId="5" applyFont="1" applyFill="1" applyBorder="1" applyAlignment="1"/>
    <xf numFmtId="0" fontId="3" fillId="0" borderId="4" xfId="7" applyFont="1" applyBorder="1"/>
    <xf numFmtId="0" fontId="6" fillId="0" borderId="4" xfId="5" applyFont="1" applyFill="1" applyBorder="1" applyAlignment="1">
      <alignment horizontal="center"/>
    </xf>
    <xf numFmtId="0" fontId="6" fillId="0" borderId="4" xfId="5" applyFont="1" applyFill="1" applyBorder="1" applyAlignment="1">
      <alignment horizontal="center" vertical="center"/>
    </xf>
    <xf numFmtId="164" fontId="6" fillId="0" borderId="4" xfId="5" applyNumberFormat="1" applyFont="1" applyFill="1" applyBorder="1" applyAlignment="1">
      <alignment horizontal="center" vertical="center"/>
    </xf>
    <xf numFmtId="0" fontId="12" fillId="0" borderId="4" xfId="5" applyFont="1" applyFill="1" applyBorder="1" applyAlignment="1"/>
    <xf numFmtId="165" fontId="12" fillId="0" borderId="4" xfId="5" applyNumberFormat="1" applyFont="1" applyFill="1" applyBorder="1" applyAlignment="1">
      <alignment horizontal="left"/>
    </xf>
    <xf numFmtId="2" fontId="12" fillId="0" borderId="4" xfId="5" applyNumberFormat="1" applyFont="1" applyFill="1" applyBorder="1" applyAlignment="1">
      <alignment horizontal="left"/>
    </xf>
    <xf numFmtId="164" fontId="12" fillId="0" borderId="4" xfId="5" applyNumberFormat="1" applyFont="1" applyFill="1" applyBorder="1" applyAlignment="1">
      <alignment horizontal="left"/>
    </xf>
    <xf numFmtId="0" fontId="12" fillId="0" borderId="4" xfId="5" applyFont="1" applyFill="1" applyBorder="1" applyAlignment="1">
      <alignment horizontal="center"/>
    </xf>
    <xf numFmtId="0" fontId="12" fillId="0" borderId="4" xfId="5" quotePrefix="1" applyFont="1" applyFill="1" applyBorder="1" applyAlignment="1">
      <alignment horizontal="center"/>
    </xf>
    <xf numFmtId="14" fontId="12" fillId="0" borderId="4" xfId="5" quotePrefix="1" applyNumberFormat="1" applyFont="1" applyFill="1" applyBorder="1" applyAlignment="1">
      <alignment horizontal="center"/>
    </xf>
    <xf numFmtId="164" fontId="12" fillId="0" borderId="4" xfId="5" applyNumberFormat="1" applyFont="1" applyFill="1" applyBorder="1" applyAlignment="1">
      <alignment horizontal="center"/>
    </xf>
    <xf numFmtId="0" fontId="29" fillId="0" borderId="0" xfId="0" applyFont="1" applyBorder="1"/>
    <xf numFmtId="0" fontId="29" fillId="0" borderId="0" xfId="0" applyFont="1"/>
    <xf numFmtId="0" fontId="14" fillId="6" borderId="10" xfId="6" applyFont="1" applyFill="1" applyBorder="1" applyProtection="1">
      <alignment vertical="center"/>
    </xf>
    <xf numFmtId="0" fontId="14" fillId="6" borderId="3" xfId="6" applyFont="1" applyFill="1" applyBorder="1" applyProtection="1">
      <alignment vertical="center"/>
    </xf>
    <xf numFmtId="166" fontId="30" fillId="7" borderId="4" xfId="6" applyNumberFormat="1" applyFont="1" applyFill="1" applyBorder="1" applyAlignment="1" applyProtection="1">
      <alignment horizontal="center" vertical="center"/>
      <protection locked="0"/>
    </xf>
    <xf numFmtId="167" fontId="31" fillId="8" borderId="4" xfId="6" applyNumberFormat="1" applyFont="1" applyFill="1" applyBorder="1" applyAlignment="1" applyProtection="1">
      <alignment horizontal="center" vertical="center"/>
    </xf>
    <xf numFmtId="0" fontId="14" fillId="6" borderId="12" xfId="6" applyFont="1" applyFill="1" applyBorder="1" applyProtection="1">
      <alignment vertical="center"/>
    </xf>
    <xf numFmtId="168" fontId="30" fillId="7" borderId="14" xfId="6" applyNumberFormat="1" applyFont="1" applyFill="1" applyBorder="1" applyAlignment="1" applyProtection="1">
      <alignment horizontal="center" vertical="center"/>
      <protection locked="0"/>
    </xf>
    <xf numFmtId="0" fontId="14" fillId="6" borderId="10" xfId="6" applyFont="1" applyFill="1" applyBorder="1" applyAlignment="1" applyProtection="1">
      <alignment vertical="center"/>
    </xf>
    <xf numFmtId="0" fontId="14" fillId="6" borderId="3" xfId="6" applyFont="1" applyFill="1" applyBorder="1" applyAlignment="1" applyProtection="1">
      <alignment vertical="center"/>
    </xf>
    <xf numFmtId="168" fontId="30" fillId="7" borderId="4" xfId="6" applyNumberFormat="1" applyFont="1" applyFill="1" applyBorder="1" applyAlignment="1" applyProtection="1">
      <alignment horizontal="center" vertical="center"/>
      <protection locked="0"/>
    </xf>
    <xf numFmtId="0" fontId="14" fillId="6" borderId="12" xfId="6" applyFont="1" applyFill="1" applyBorder="1" applyAlignment="1" applyProtection="1">
      <alignment vertical="center"/>
    </xf>
    <xf numFmtId="0" fontId="33" fillId="0" borderId="20" xfId="2" applyFont="1" applyFill="1" applyBorder="1">
      <alignment vertical="center"/>
    </xf>
    <xf numFmtId="0" fontId="32" fillId="6" borderId="23" xfId="6" applyFont="1" applyFill="1" applyBorder="1" applyAlignment="1" applyProtection="1">
      <alignment horizontal="center" vertical="center"/>
    </xf>
    <xf numFmtId="0" fontId="14" fillId="6" borderId="15" xfId="6" applyFont="1" applyFill="1" applyBorder="1" applyAlignment="1" applyProtection="1">
      <alignment horizontal="left" vertical="center"/>
    </xf>
    <xf numFmtId="0" fontId="17" fillId="0" borderId="24" xfId="6" applyFont="1" applyFill="1" applyBorder="1" applyAlignment="1" applyProtection="1">
      <alignment vertical="center"/>
    </xf>
    <xf numFmtId="0" fontId="33" fillId="0" borderId="26" xfId="2" applyFont="1" applyFill="1" applyBorder="1" applyAlignment="1">
      <alignment vertical="center"/>
    </xf>
    <xf numFmtId="0" fontId="14" fillId="6" borderId="27" xfId="6" applyFont="1" applyFill="1" applyBorder="1" applyProtection="1">
      <alignment vertical="center"/>
    </xf>
    <xf numFmtId="0" fontId="33" fillId="0" borderId="29" xfId="2" applyFont="1" applyFill="1" applyBorder="1" applyAlignment="1">
      <alignment vertical="center"/>
    </xf>
    <xf numFmtId="0" fontId="29" fillId="0" borderId="26" xfId="0" applyFont="1" applyBorder="1" applyAlignment="1">
      <alignment vertical="top"/>
    </xf>
    <xf numFmtId="0" fontId="29" fillId="0" borderId="0" xfId="0" applyFont="1" applyBorder="1" applyAlignment="1">
      <alignment vertical="top"/>
    </xf>
    <xf numFmtId="0" fontId="32" fillId="6" borderId="18" xfId="6" applyFont="1" applyFill="1" applyBorder="1" applyProtection="1">
      <alignment vertical="center"/>
    </xf>
    <xf numFmtId="168" fontId="30" fillId="9" borderId="2" xfId="6" applyNumberFormat="1" applyFont="1" applyFill="1" applyBorder="1" applyAlignment="1" applyProtection="1">
      <alignment horizontal="center" vertical="center"/>
      <protection locked="0"/>
    </xf>
    <xf numFmtId="169" fontId="30" fillId="7" borderId="4" xfId="6" applyNumberFormat="1" applyFont="1" applyFill="1" applyBorder="1" applyAlignment="1" applyProtection="1">
      <alignment horizontal="center" vertical="center"/>
      <protection locked="0"/>
    </xf>
    <xf numFmtId="0" fontId="29" fillId="0" borderId="30" xfId="0" applyFont="1" applyBorder="1" applyAlignment="1">
      <alignment vertical="top"/>
    </xf>
    <xf numFmtId="168" fontId="30" fillId="7" borderId="14" xfId="2" applyNumberFormat="1" applyFont="1" applyFill="1" applyBorder="1" applyAlignment="1" applyProtection="1">
      <alignment horizontal="center" vertical="center"/>
      <protection locked="0"/>
    </xf>
    <xf numFmtId="170" fontId="35" fillId="6" borderId="14" xfId="6" applyNumberFormat="1" applyFont="1" applyFill="1" applyBorder="1" applyAlignment="1" applyProtection="1">
      <alignment horizontal="center" vertical="center"/>
    </xf>
    <xf numFmtId="168" fontId="35" fillId="6" borderId="4" xfId="6" applyNumberFormat="1" applyFont="1" applyFill="1" applyBorder="1" applyAlignment="1" applyProtection="1">
      <alignment horizontal="center" vertical="center"/>
    </xf>
    <xf numFmtId="168" fontId="35" fillId="6" borderId="31" xfId="6" applyNumberFormat="1" applyFont="1" applyFill="1" applyBorder="1" applyAlignment="1" applyProtection="1">
      <alignment horizontal="center" vertical="center"/>
    </xf>
    <xf numFmtId="168" fontId="35" fillId="6" borderId="17" xfId="6" applyNumberFormat="1" applyFont="1" applyFill="1" applyBorder="1" applyAlignment="1" applyProtection="1">
      <alignment horizontal="center" vertical="center"/>
    </xf>
    <xf numFmtId="168" fontId="35" fillId="8" borderId="14" xfId="6" applyNumberFormat="1" applyFont="1" applyFill="1" applyBorder="1" applyAlignment="1" applyProtection="1">
      <alignment horizontal="center" vertical="center"/>
    </xf>
    <xf numFmtId="0" fontId="29" fillId="0" borderId="4" xfId="0" applyFont="1" applyBorder="1"/>
    <xf numFmtId="0" fontId="29" fillId="0" borderId="4" xfId="0" applyFont="1" applyBorder="1" applyAlignment="1">
      <alignment horizontal="center" vertical="center"/>
    </xf>
    <xf numFmtId="172" fontId="29" fillId="0" borderId="4" xfId="0" applyNumberFormat="1" applyFont="1" applyBorder="1" applyAlignment="1">
      <alignment horizontal="center" vertical="center"/>
    </xf>
    <xf numFmtId="168" fontId="34" fillId="4" borderId="14" xfId="6" applyNumberFormat="1" applyFont="1" applyFill="1" applyBorder="1" applyAlignment="1" applyProtection="1">
      <alignment horizontal="center" vertical="center"/>
    </xf>
    <xf numFmtId="166" fontId="30" fillId="7" borderId="14" xfId="6" applyNumberFormat="1" applyFont="1" applyFill="1" applyBorder="1" applyAlignment="1" applyProtection="1">
      <alignment horizontal="center" vertical="center"/>
      <protection locked="0"/>
    </xf>
    <xf numFmtId="170" fontId="30" fillId="7" borderId="14" xfId="6" applyNumberFormat="1" applyFont="1" applyFill="1" applyBorder="1" applyAlignment="1" applyProtection="1">
      <alignment horizontal="center" vertical="center"/>
      <protection locked="0"/>
    </xf>
    <xf numFmtId="9" fontId="29" fillId="0" borderId="4" xfId="0" applyNumberFormat="1" applyFont="1" applyBorder="1" applyAlignment="1">
      <alignment horizontal="center"/>
    </xf>
    <xf numFmtId="0" fontId="29" fillId="0" borderId="3" xfId="0" applyFont="1" applyBorder="1"/>
    <xf numFmtId="0" fontId="32" fillId="0" borderId="0" xfId="0" applyFont="1"/>
    <xf numFmtId="0" fontId="49" fillId="7" borderId="3" xfId="8" applyFont="1" applyFill="1" applyBorder="1" applyAlignment="1" applyProtection="1">
      <alignment horizontal="center"/>
      <protection locked="0"/>
    </xf>
    <xf numFmtId="0" fontId="3" fillId="7" borderId="4" xfId="7" applyFont="1" applyFill="1" applyBorder="1" applyAlignment="1" applyProtection="1">
      <alignment horizontal="center" vertical="center"/>
      <protection locked="0"/>
    </xf>
    <xf numFmtId="164" fontId="3" fillId="7" borderId="4" xfId="7" applyNumberFormat="1" applyFont="1" applyFill="1" applyBorder="1" applyAlignment="1" applyProtection="1">
      <alignment horizontal="center" vertical="center"/>
      <protection locked="0"/>
    </xf>
    <xf numFmtId="0" fontId="3" fillId="7" borderId="5" xfId="7" applyFont="1" applyFill="1" applyBorder="1" applyAlignment="1" applyProtection="1">
      <alignment horizontal="center" vertical="center"/>
      <protection locked="0"/>
    </xf>
    <xf numFmtId="0" fontId="6" fillId="2" borderId="4" xfId="5" applyFont="1" applyFill="1" applyBorder="1" applyAlignment="1">
      <alignment horizontal="center" vertical="center"/>
    </xf>
    <xf numFmtId="0" fontId="6" fillId="2" borderId="4" xfId="5" applyFont="1" applyFill="1" applyBorder="1" applyAlignment="1">
      <alignment horizontal="center" vertical="center" wrapText="1"/>
    </xf>
    <xf numFmtId="0" fontId="50" fillId="0" borderId="4" xfId="7" applyFont="1" applyFill="1" applyBorder="1" applyAlignment="1">
      <alignment horizontal="center" vertical="center"/>
    </xf>
    <xf numFmtId="0" fontId="44" fillId="0" borderId="4" xfId="7" applyFont="1" applyBorder="1" applyAlignment="1">
      <alignment horizontal="center" vertical="center"/>
    </xf>
    <xf numFmtId="164" fontId="44" fillId="0" borderId="4" xfId="7" applyNumberFormat="1" applyFont="1" applyBorder="1" applyAlignment="1">
      <alignment horizontal="center" vertical="center"/>
    </xf>
    <xf numFmtId="0" fontId="44" fillId="0" borderId="5" xfId="7" applyFont="1" applyBorder="1" applyAlignment="1">
      <alignment horizontal="center" vertical="center"/>
    </xf>
    <xf numFmtId="0" fontId="50" fillId="0" borderId="4" xfId="7" applyFont="1" applyFill="1" applyBorder="1" applyAlignment="1" applyProtection="1">
      <alignment horizontal="center" vertical="center" wrapText="1"/>
    </xf>
    <xf numFmtId="0" fontId="10" fillId="7" borderId="16" xfId="7" applyFont="1" applyFill="1" applyBorder="1" applyAlignment="1" applyProtection="1">
      <alignment horizontal="center" vertical="center" wrapText="1"/>
      <protection locked="0"/>
    </xf>
    <xf numFmtId="170" fontId="35" fillId="6" borderId="4" xfId="6" applyNumberFormat="1" applyFont="1" applyFill="1" applyBorder="1" applyAlignment="1" applyProtection="1">
      <alignment horizontal="center" vertical="center"/>
    </xf>
    <xf numFmtId="0" fontId="29" fillId="0" borderId="12" xfId="0" applyFont="1" applyBorder="1"/>
    <xf numFmtId="0" fontId="29" fillId="0" borderId="17" xfId="0" applyFont="1" applyBorder="1"/>
    <xf numFmtId="168" fontId="51" fillId="3" borderId="4" xfId="6" applyNumberFormat="1" applyFont="1" applyFill="1" applyBorder="1" applyAlignment="1" applyProtection="1">
      <alignment horizontal="center" vertical="center"/>
    </xf>
    <xf numFmtId="169" fontId="51" fillId="8" borderId="4" xfId="6" applyNumberFormat="1" applyFont="1" applyFill="1" applyBorder="1" applyAlignment="1" applyProtection="1">
      <alignment horizontal="center" vertical="center"/>
    </xf>
    <xf numFmtId="168" fontId="51" fillId="8" borderId="4" xfId="6" applyNumberFormat="1" applyFont="1" applyFill="1" applyBorder="1" applyAlignment="1" applyProtection="1">
      <alignment horizontal="center" vertical="center"/>
    </xf>
    <xf numFmtId="168" fontId="51" fillId="8" borderId="17" xfId="6" applyNumberFormat="1" applyFont="1" applyFill="1" applyBorder="1" applyAlignment="1" applyProtection="1">
      <alignment horizontal="center" vertical="center"/>
    </xf>
    <xf numFmtId="168" fontId="51" fillId="6" borderId="14" xfId="6" applyNumberFormat="1" applyFont="1" applyFill="1" applyBorder="1" applyAlignment="1" applyProtection="1">
      <alignment horizontal="center" vertical="center"/>
    </xf>
    <xf numFmtId="0" fontId="52" fillId="8" borderId="4" xfId="0" applyFont="1" applyFill="1" applyBorder="1" applyAlignment="1">
      <alignment horizontal="center" vertical="center"/>
    </xf>
    <xf numFmtId="168" fontId="51" fillId="6" borderId="4" xfId="6" applyNumberFormat="1" applyFont="1" applyFill="1" applyBorder="1" applyAlignment="1" applyProtection="1">
      <alignment horizontal="center" vertical="center"/>
    </xf>
    <xf numFmtId="9" fontId="51" fillId="7" borderId="17" xfId="6" applyNumberFormat="1" applyFont="1" applyFill="1" applyBorder="1" applyAlignment="1" applyProtection="1">
      <alignment horizontal="center" vertical="center"/>
      <protection locked="0"/>
    </xf>
    <xf numFmtId="0" fontId="29" fillId="0" borderId="4" xfId="0" applyFont="1" applyBorder="1" applyAlignment="1">
      <alignment horizontal="center"/>
    </xf>
    <xf numFmtId="170" fontId="51" fillId="3" borderId="4" xfId="6" applyNumberFormat="1" applyFont="1" applyFill="1" applyBorder="1" applyAlignment="1" applyProtection="1">
      <alignment horizontal="center" vertical="center"/>
    </xf>
    <xf numFmtId="168" fontId="34" fillId="3" borderId="14" xfId="6" applyNumberFormat="1" applyFont="1" applyFill="1" applyBorder="1" applyAlignment="1" applyProtection="1">
      <alignment horizontal="center" vertical="center"/>
    </xf>
    <xf numFmtId="0" fontId="17" fillId="0" borderId="0" xfId="6" applyFont="1" applyFill="1" applyBorder="1" applyAlignment="1" applyProtection="1">
      <alignment horizontal="left" vertical="center"/>
    </xf>
    <xf numFmtId="0" fontId="33" fillId="0" borderId="0" xfId="2" applyFont="1" applyFill="1" applyBorder="1" applyAlignment="1">
      <alignment vertical="center"/>
    </xf>
    <xf numFmtId="0" fontId="33" fillId="0" borderId="6" xfId="2" applyFont="1" applyFill="1" applyBorder="1" applyAlignment="1">
      <alignment vertical="center"/>
    </xf>
    <xf numFmtId="167" fontId="51" fillId="8" borderId="14" xfId="6" applyNumberFormat="1" applyFont="1" applyFill="1" applyBorder="1" applyAlignment="1" applyProtection="1">
      <alignment horizontal="center" vertical="center"/>
    </xf>
    <xf numFmtId="0" fontId="17" fillId="0" borderId="0" xfId="6" applyFont="1" applyFill="1" applyBorder="1" applyAlignment="1" applyProtection="1">
      <alignment horizontal="center" vertical="center"/>
    </xf>
    <xf numFmtId="0" fontId="17" fillId="0" borderId="40" xfId="6" applyFont="1" applyFill="1" applyBorder="1" applyAlignment="1" applyProtection="1">
      <alignment horizontal="center" vertical="center"/>
    </xf>
    <xf numFmtId="0" fontId="19" fillId="0" borderId="6" xfId="6" applyFont="1" applyFill="1" applyBorder="1" applyAlignment="1" applyProtection="1">
      <alignment horizontal="center" vertical="center"/>
    </xf>
    <xf numFmtId="168" fontId="51" fillId="3" borderId="17" xfId="6" applyNumberFormat="1" applyFont="1" applyFill="1" applyBorder="1" applyAlignment="1" applyProtection="1">
      <alignment horizontal="center" vertical="center"/>
    </xf>
    <xf numFmtId="0" fontId="21" fillId="6" borderId="11" xfId="6" applyFont="1" applyFill="1" applyBorder="1" applyAlignment="1" applyProtection="1">
      <alignment horizontal="center" vertical="center"/>
    </xf>
    <xf numFmtId="0" fontId="21" fillId="6" borderId="5" xfId="6" applyFont="1" applyFill="1" applyBorder="1" applyAlignment="1" applyProtection="1">
      <alignment horizontal="center" vertical="center"/>
    </xf>
    <xf numFmtId="0" fontId="21" fillId="11" borderId="5" xfId="6" applyFont="1" applyFill="1" applyBorder="1" applyAlignment="1" applyProtection="1">
      <alignment horizontal="center" vertical="center"/>
    </xf>
    <xf numFmtId="0" fontId="37" fillId="0" borderId="5" xfId="2" applyFont="1" applyBorder="1" applyAlignment="1">
      <alignment horizontal="center" vertical="center"/>
    </xf>
    <xf numFmtId="0" fontId="21" fillId="6" borderId="13" xfId="6" applyFont="1" applyFill="1" applyBorder="1" applyAlignment="1" applyProtection="1">
      <alignment horizontal="center" vertical="center"/>
    </xf>
    <xf numFmtId="0" fontId="37" fillId="0" borderId="11" xfId="2" applyFont="1" applyBorder="1" applyAlignment="1" applyProtection="1">
      <alignment horizontal="center" vertical="center"/>
    </xf>
    <xf numFmtId="0" fontId="43" fillId="0" borderId="5" xfId="0" applyFont="1" applyBorder="1" applyAlignment="1">
      <alignment horizontal="center" vertical="center"/>
    </xf>
    <xf numFmtId="0" fontId="43" fillId="0" borderId="13" xfId="0" applyFont="1" applyBorder="1" applyAlignment="1">
      <alignment horizontal="center" vertical="center"/>
    </xf>
    <xf numFmtId="0" fontId="21" fillId="6" borderId="22" xfId="6" applyFont="1" applyFill="1" applyBorder="1" applyAlignment="1" applyProtection="1">
      <alignment horizontal="center" vertical="center"/>
    </xf>
    <xf numFmtId="0" fontId="21" fillId="6" borderId="19" xfId="6" applyFont="1" applyFill="1" applyBorder="1" applyAlignment="1" applyProtection="1">
      <alignment horizontal="center" vertical="center"/>
    </xf>
    <xf numFmtId="0" fontId="54" fillId="6" borderId="22" xfId="6" applyFont="1" applyFill="1" applyBorder="1" applyAlignment="1" applyProtection="1">
      <alignment horizontal="center" vertical="center"/>
    </xf>
    <xf numFmtId="0" fontId="21" fillId="6" borderId="25" xfId="6" applyFont="1" applyFill="1" applyBorder="1" applyAlignment="1" applyProtection="1">
      <alignment horizontal="center" vertical="center"/>
    </xf>
    <xf numFmtId="0" fontId="21" fillId="6" borderId="28" xfId="6" applyFont="1" applyFill="1" applyBorder="1" applyAlignment="1" applyProtection="1">
      <alignment horizontal="center" vertical="center"/>
    </xf>
    <xf numFmtId="0" fontId="32" fillId="0" borderId="0" xfId="0" applyFont="1" applyAlignment="1">
      <alignment vertical="center"/>
    </xf>
    <xf numFmtId="0" fontId="29" fillId="0" borderId="0" xfId="0" applyFont="1" applyAlignment="1">
      <alignment vertical="center"/>
    </xf>
    <xf numFmtId="0" fontId="0" fillId="0" borderId="0" xfId="0" applyAlignment="1">
      <alignment vertical="center"/>
    </xf>
    <xf numFmtId="0" fontId="37" fillId="14" borderId="0" xfId="0" applyFont="1" applyFill="1" applyAlignment="1">
      <alignment vertical="center"/>
    </xf>
    <xf numFmtId="0" fontId="32" fillId="0" borderId="10" xfId="0" applyFont="1" applyBorder="1" applyAlignment="1">
      <alignment horizontal="left" vertical="center"/>
    </xf>
    <xf numFmtId="0" fontId="32" fillId="0" borderId="3" xfId="0" applyFont="1" applyBorder="1" applyAlignment="1">
      <alignment horizontal="left" vertical="center"/>
    </xf>
    <xf numFmtId="0" fontId="14" fillId="6" borderId="3" xfId="6" applyFont="1" applyFill="1" applyBorder="1" applyAlignment="1" applyProtection="1">
      <alignment horizontal="left" vertical="center"/>
    </xf>
    <xf numFmtId="0" fontId="14" fillId="6" borderId="12" xfId="6" applyFont="1" applyFill="1" applyBorder="1" applyAlignment="1" applyProtection="1">
      <alignment horizontal="left" vertical="center"/>
    </xf>
    <xf numFmtId="0" fontId="14" fillId="6" borderId="10" xfId="6" applyFont="1" applyFill="1" applyBorder="1" applyAlignment="1" applyProtection="1">
      <alignment horizontal="left" vertical="center"/>
    </xf>
    <xf numFmtId="0" fontId="32" fillId="14" borderId="0" xfId="0" applyFont="1" applyFill="1" applyAlignment="1">
      <alignment vertical="center"/>
    </xf>
    <xf numFmtId="0" fontId="32" fillId="0" borderId="40" xfId="6" applyFont="1" applyFill="1" applyBorder="1" applyAlignment="1" applyProtection="1">
      <alignment horizontal="center" vertical="center"/>
    </xf>
    <xf numFmtId="0" fontId="32" fillId="0" borderId="0" xfId="6" applyFont="1" applyFill="1" applyBorder="1" applyAlignment="1" applyProtection="1">
      <alignment horizontal="center" vertical="center"/>
    </xf>
    <xf numFmtId="0" fontId="33" fillId="0" borderId="0" xfId="2" applyFont="1" applyFill="1" applyBorder="1" applyAlignment="1">
      <alignment horizontal="center" vertical="center"/>
    </xf>
    <xf numFmtId="0" fontId="29" fillId="0" borderId="0" xfId="0" applyFont="1" applyFill="1" applyBorder="1"/>
    <xf numFmtId="0" fontId="29" fillId="0" borderId="6" xfId="0" applyFont="1" applyFill="1" applyBorder="1"/>
    <xf numFmtId="169" fontId="30" fillId="3" borderId="4" xfId="6" applyNumberFormat="1" applyFont="1" applyFill="1" applyBorder="1" applyAlignment="1" applyProtection="1">
      <alignment horizontal="center" vertical="center"/>
    </xf>
    <xf numFmtId="169" fontId="30" fillId="7" borderId="14" xfId="6" applyNumberFormat="1" applyFont="1" applyFill="1" applyBorder="1" applyAlignment="1" applyProtection="1">
      <alignment horizontal="center" vertical="center"/>
      <protection locked="0"/>
    </xf>
    <xf numFmtId="170" fontId="30" fillId="7" borderId="4" xfId="6" applyNumberFormat="1" applyFont="1" applyFill="1" applyBorder="1" applyAlignment="1" applyProtection="1">
      <alignment horizontal="center" vertical="center"/>
      <protection locked="0"/>
    </xf>
    <xf numFmtId="170" fontId="30" fillId="7" borderId="17" xfId="6" applyNumberFormat="1" applyFont="1" applyFill="1" applyBorder="1" applyAlignment="1" applyProtection="1">
      <alignment horizontal="center" vertical="center"/>
      <protection locked="0"/>
    </xf>
    <xf numFmtId="0" fontId="29" fillId="0" borderId="40" xfId="0" applyFont="1" applyBorder="1"/>
    <xf numFmtId="0" fontId="29" fillId="0" borderId="6" xfId="0" applyFont="1" applyBorder="1"/>
    <xf numFmtId="170" fontId="35" fillId="3" borderId="4" xfId="6" applyNumberFormat="1" applyFont="1" applyFill="1" applyBorder="1" applyAlignment="1" applyProtection="1">
      <alignment horizontal="center" vertical="center"/>
    </xf>
    <xf numFmtId="171" fontId="30" fillId="7" borderId="4" xfId="6" applyNumberFormat="1" applyFont="1" applyFill="1" applyBorder="1" applyAlignment="1" applyProtection="1">
      <alignment horizontal="center" vertical="center"/>
      <protection locked="0"/>
    </xf>
    <xf numFmtId="0" fontId="29" fillId="0" borderId="13" xfId="0" applyFont="1" applyBorder="1"/>
    <xf numFmtId="170" fontId="34" fillId="3" borderId="4" xfId="6" applyNumberFormat="1" applyFont="1" applyFill="1" applyBorder="1" applyAlignment="1" applyProtection="1">
      <alignment horizontal="center" vertical="center"/>
    </xf>
    <xf numFmtId="0" fontId="32" fillId="0" borderId="0" xfId="0" applyFont="1" applyAlignment="1">
      <alignment vertical="center" wrapText="1"/>
    </xf>
    <xf numFmtId="0" fontId="0" fillId="0" borderId="0" xfId="0" applyAlignment="1">
      <alignment vertical="center" wrapText="1"/>
    </xf>
    <xf numFmtId="0" fontId="32" fillId="6" borderId="32" xfId="6" applyFont="1" applyFill="1" applyBorder="1" applyAlignment="1" applyProtection="1">
      <alignment horizontal="center" vertical="center"/>
    </xf>
    <xf numFmtId="0" fontId="32" fillId="6" borderId="33" xfId="6" applyFont="1" applyFill="1" applyBorder="1" applyAlignment="1" applyProtection="1">
      <alignment horizontal="center" vertical="center"/>
    </xf>
    <xf numFmtId="0" fontId="32" fillId="6" borderId="34" xfId="6" applyFont="1" applyFill="1" applyBorder="1" applyAlignment="1" applyProtection="1">
      <alignment horizontal="center" vertical="center"/>
    </xf>
    <xf numFmtId="0" fontId="32" fillId="0" borderId="3" xfId="0" applyFont="1" applyBorder="1" applyAlignment="1">
      <alignment horizontal="left" vertical="center" wrapText="1"/>
    </xf>
    <xf numFmtId="0" fontId="0" fillId="0" borderId="3" xfId="0" applyBorder="1" applyAlignment="1">
      <alignment wrapText="1"/>
    </xf>
    <xf numFmtId="169" fontId="30" fillId="7" borderId="4" xfId="6" applyNumberFormat="1" applyFont="1" applyFill="1" applyBorder="1" applyAlignment="1" applyProtection="1">
      <alignment horizontal="center" vertical="center"/>
      <protection locked="0"/>
    </xf>
    <xf numFmtId="0" fontId="0" fillId="0" borderId="4" xfId="0" applyBorder="1" applyAlignment="1"/>
    <xf numFmtId="0" fontId="29" fillId="0" borderId="5" xfId="0" applyFont="1" applyBorder="1" applyAlignment="1"/>
    <xf numFmtId="0" fontId="0" fillId="0" borderId="5" xfId="0" applyBorder="1" applyAlignment="1"/>
    <xf numFmtId="0" fontId="17" fillId="10" borderId="42" xfId="6" applyFont="1" applyFill="1" applyBorder="1" applyAlignment="1" applyProtection="1">
      <alignment vertical="center"/>
    </xf>
    <xf numFmtId="0" fontId="17" fillId="10" borderId="43" xfId="6" applyFont="1" applyFill="1" applyBorder="1" applyAlignment="1" applyProtection="1">
      <alignment vertical="center"/>
    </xf>
    <xf numFmtId="0" fontId="17" fillId="10" borderId="44" xfId="6" applyFont="1" applyFill="1" applyBorder="1" applyAlignment="1" applyProtection="1">
      <alignment vertical="center"/>
    </xf>
    <xf numFmtId="0" fontId="17" fillId="10" borderId="45" xfId="6" applyFont="1" applyFill="1" applyBorder="1" applyAlignment="1" applyProtection="1">
      <alignment vertical="center"/>
    </xf>
    <xf numFmtId="0" fontId="37" fillId="10" borderId="32" xfId="2" applyFont="1" applyFill="1" applyBorder="1" applyAlignment="1" applyProtection="1">
      <alignment horizontal="left" vertical="center"/>
    </xf>
    <xf numFmtId="0" fontId="37" fillId="10" borderId="33" xfId="2" applyFont="1" applyFill="1" applyBorder="1" applyAlignment="1" applyProtection="1">
      <alignment horizontal="left" vertical="center"/>
    </xf>
    <xf numFmtId="0" fontId="37" fillId="10" borderId="34" xfId="2" applyFont="1" applyFill="1" applyBorder="1" applyAlignment="1" applyProtection="1">
      <alignment horizontal="left" vertical="center"/>
    </xf>
    <xf numFmtId="0" fontId="21" fillId="6" borderId="3" xfId="6" applyFont="1" applyFill="1" applyBorder="1" applyAlignment="1" applyProtection="1">
      <alignment horizontal="center" vertical="center"/>
    </xf>
    <xf numFmtId="0" fontId="36" fillId="0" borderId="4" xfId="0" applyFont="1" applyBorder="1" applyAlignment="1">
      <alignment vertical="center"/>
    </xf>
    <xf numFmtId="0" fontId="36" fillId="0" borderId="5" xfId="0" applyFont="1" applyBorder="1" applyAlignment="1">
      <alignment vertical="center"/>
    </xf>
    <xf numFmtId="0" fontId="40" fillId="2" borderId="32" xfId="6" applyFont="1" applyFill="1" applyBorder="1" applyAlignment="1" applyProtection="1">
      <alignment horizontal="center" vertical="center"/>
    </xf>
    <xf numFmtId="0" fontId="41" fillId="2" borderId="33" xfId="2" applyFont="1" applyFill="1" applyBorder="1" applyAlignment="1">
      <alignment horizontal="center" vertical="center"/>
    </xf>
    <xf numFmtId="0" fontId="38" fillId="12" borderId="33" xfId="0" applyFont="1" applyFill="1" applyBorder="1" applyAlignment="1">
      <alignment horizontal="center" vertical="center"/>
    </xf>
    <xf numFmtId="0" fontId="38" fillId="12" borderId="34" xfId="0" applyFont="1" applyFill="1" applyBorder="1" applyAlignment="1">
      <alignment horizontal="center" vertical="center"/>
    </xf>
    <xf numFmtId="0" fontId="29" fillId="0" borderId="32" xfId="0" applyFont="1" applyBorder="1" applyAlignment="1">
      <alignment horizontal="center"/>
    </xf>
    <xf numFmtId="0" fontId="29" fillId="0" borderId="33" xfId="0" applyFont="1" applyBorder="1" applyAlignment="1">
      <alignment horizontal="center"/>
    </xf>
    <xf numFmtId="0" fontId="29" fillId="0" borderId="34" xfId="0" applyFont="1" applyBorder="1" applyAlignment="1">
      <alignment horizontal="center"/>
    </xf>
    <xf numFmtId="0" fontId="32" fillId="0" borderId="24" xfId="0" applyFont="1" applyBorder="1" applyAlignment="1">
      <alignment horizontal="left" vertical="top" wrapText="1"/>
    </xf>
    <xf numFmtId="0" fontId="32" fillId="0" borderId="40" xfId="0" applyFont="1" applyBorder="1" applyAlignment="1">
      <alignment horizontal="left" vertical="top" wrapText="1"/>
    </xf>
    <xf numFmtId="0" fontId="32" fillId="0" borderId="41" xfId="0" applyFont="1" applyBorder="1" applyAlignment="1">
      <alignment horizontal="left" vertical="top" wrapText="1"/>
    </xf>
    <xf numFmtId="0" fontId="32" fillId="0" borderId="26" xfId="0" applyFont="1" applyBorder="1" applyAlignment="1">
      <alignment horizontal="left" vertical="top" wrapText="1"/>
    </xf>
    <xf numFmtId="0" fontId="32" fillId="0" borderId="0" xfId="0" applyFont="1" applyBorder="1" applyAlignment="1">
      <alignment horizontal="left" vertical="top" wrapText="1"/>
    </xf>
    <xf numFmtId="0" fontId="32" fillId="0" borderId="30" xfId="0" applyFont="1" applyBorder="1" applyAlignment="1">
      <alignment horizontal="left" vertical="top" wrapText="1"/>
    </xf>
    <xf numFmtId="0" fontId="32" fillId="0" borderId="29" xfId="0" applyFont="1" applyBorder="1" applyAlignment="1">
      <alignment vertical="top"/>
    </xf>
    <xf numFmtId="0" fontId="32" fillId="0" borderId="6" xfId="0" applyFont="1" applyBorder="1" applyAlignment="1">
      <alignment vertical="top"/>
    </xf>
    <xf numFmtId="0" fontId="32" fillId="0" borderId="7" xfId="0" applyFont="1" applyBorder="1" applyAlignment="1">
      <alignment vertical="top"/>
    </xf>
    <xf numFmtId="0" fontId="37" fillId="0" borderId="3" xfId="2" applyFont="1" applyFill="1" applyBorder="1" applyAlignment="1" applyProtection="1">
      <alignment horizontal="center" vertical="center"/>
    </xf>
    <xf numFmtId="0" fontId="17" fillId="10" borderId="24" xfId="6" applyFont="1" applyFill="1" applyBorder="1" applyAlignment="1" applyProtection="1">
      <alignment horizontal="left" vertical="center"/>
    </xf>
    <xf numFmtId="0" fontId="33" fillId="0" borderId="40" xfId="0" applyFont="1" applyBorder="1" applyAlignment="1"/>
    <xf numFmtId="0" fontId="33" fillId="0" borderId="41" xfId="0" applyFont="1" applyBorder="1" applyAlignment="1"/>
    <xf numFmtId="0" fontId="36" fillId="3" borderId="3" xfId="2" applyFont="1" applyFill="1" applyBorder="1" applyAlignment="1">
      <alignment horizontal="center" vertical="center"/>
    </xf>
    <xf numFmtId="0" fontId="33" fillId="3" borderId="4" xfId="0" applyFont="1" applyFill="1" applyBorder="1" applyAlignment="1">
      <alignment vertical="center"/>
    </xf>
    <xf numFmtId="0" fontId="33" fillId="3" borderId="5" xfId="0" applyFont="1" applyFill="1" applyBorder="1" applyAlignment="1">
      <alignment vertical="center"/>
    </xf>
    <xf numFmtId="0" fontId="17" fillId="10" borderId="37" xfId="6" applyFont="1" applyFill="1" applyBorder="1" applyAlignment="1" applyProtection="1">
      <alignment horizontal="left" vertical="center"/>
    </xf>
    <xf numFmtId="0" fontId="33" fillId="10" borderId="38" xfId="2" applyFont="1" applyFill="1" applyBorder="1" applyAlignment="1">
      <alignment horizontal="left" vertical="center"/>
    </xf>
    <xf numFmtId="0" fontId="33" fillId="10" borderId="39" xfId="2" applyFont="1" applyFill="1" applyBorder="1" applyAlignment="1">
      <alignment horizontal="left" vertical="center"/>
    </xf>
    <xf numFmtId="0" fontId="17" fillId="10" borderId="40" xfId="6" applyFont="1" applyFill="1" applyBorder="1" applyAlignment="1" applyProtection="1">
      <alignment horizontal="left" vertical="center"/>
    </xf>
    <xf numFmtId="0" fontId="17" fillId="10" borderId="41" xfId="6" applyFont="1" applyFill="1" applyBorder="1" applyAlignment="1" applyProtection="1">
      <alignment horizontal="left" vertical="center"/>
    </xf>
    <xf numFmtId="0" fontId="33" fillId="10" borderId="40" xfId="2" applyFont="1" applyFill="1" applyBorder="1" applyAlignment="1">
      <alignment horizontal="left" vertical="center"/>
    </xf>
    <xf numFmtId="0" fontId="33" fillId="10" borderId="33" xfId="2" applyFont="1" applyFill="1" applyBorder="1" applyAlignment="1">
      <alignment horizontal="left" vertical="center"/>
    </xf>
    <xf numFmtId="0" fontId="33" fillId="10" borderId="41" xfId="2" applyFont="1" applyFill="1" applyBorder="1" applyAlignment="1">
      <alignment horizontal="left" vertical="center"/>
    </xf>
    <xf numFmtId="0" fontId="6" fillId="0" borderId="25" xfId="5" applyFont="1" applyFill="1" applyBorder="1" applyAlignment="1">
      <alignment horizontal="center" vertical="center"/>
    </xf>
    <xf numFmtId="0" fontId="33" fillId="0" borderId="36" xfId="0" applyFont="1" applyBorder="1" applyAlignment="1">
      <alignment horizontal="center" vertical="center"/>
    </xf>
    <xf numFmtId="0" fontId="33" fillId="0" borderId="16" xfId="0" applyFont="1" applyBorder="1" applyAlignment="1">
      <alignment horizontal="center" vertical="center"/>
    </xf>
    <xf numFmtId="0" fontId="28" fillId="5" borderId="35" xfId="7" applyFont="1" applyFill="1" applyBorder="1" applyAlignment="1" applyProtection="1">
      <alignment horizontal="center" vertical="center" wrapText="1"/>
    </xf>
    <xf numFmtId="0" fontId="33" fillId="0" borderId="16" xfId="0" applyFont="1" applyBorder="1" applyAlignment="1">
      <alignment horizontal="center" vertical="center" wrapText="1"/>
    </xf>
    <xf numFmtId="0" fontId="6" fillId="2" borderId="4" xfId="5" applyFont="1" applyFill="1" applyBorder="1" applyAlignment="1">
      <alignment horizontal="center" vertical="center"/>
    </xf>
    <xf numFmtId="0" fontId="33" fillId="2" borderId="4" xfId="0" applyFont="1" applyFill="1" applyBorder="1" applyAlignment="1">
      <alignment horizontal="center" vertical="center"/>
    </xf>
    <xf numFmtId="0" fontId="24" fillId="2" borderId="32" xfId="7" applyFont="1" applyFill="1" applyBorder="1" applyAlignment="1">
      <alignment horizontal="center" vertical="center" wrapText="1"/>
    </xf>
    <xf numFmtId="0" fontId="24" fillId="2" borderId="33" xfId="7" applyFont="1" applyFill="1" applyBorder="1" applyAlignment="1">
      <alignment horizontal="center" vertical="center" wrapText="1"/>
    </xf>
    <xf numFmtId="0" fontId="24" fillId="2" borderId="33" xfId="1" applyFont="1" applyFill="1" applyBorder="1" applyAlignment="1">
      <alignment horizontal="center" vertical="center" wrapText="1"/>
    </xf>
    <xf numFmtId="0" fontId="24" fillId="2" borderId="40" xfId="1" applyFont="1" applyFill="1" applyBorder="1" applyAlignment="1">
      <alignment horizontal="center" vertical="center" wrapText="1"/>
    </xf>
    <xf numFmtId="0" fontId="24" fillId="2" borderId="41" xfId="1" applyFont="1" applyFill="1" applyBorder="1" applyAlignment="1">
      <alignment horizontal="center" vertical="center" wrapText="1"/>
    </xf>
    <xf numFmtId="0" fontId="5" fillId="2" borderId="24" xfId="5" applyFont="1" applyFill="1" applyBorder="1" applyAlignment="1">
      <alignment horizontal="center" vertical="center"/>
    </xf>
    <xf numFmtId="0" fontId="5" fillId="2" borderId="40" xfId="5" applyFont="1" applyFill="1" applyBorder="1" applyAlignment="1">
      <alignment horizontal="center" vertical="center"/>
    </xf>
    <xf numFmtId="0" fontId="39" fillId="0" borderId="46" xfId="1" applyFont="1" applyBorder="1" applyAlignment="1">
      <alignment vertical="center"/>
    </xf>
    <xf numFmtId="0" fontId="39" fillId="0" borderId="47" xfId="1" applyFont="1" applyBorder="1" applyAlignment="1">
      <alignment vertical="center"/>
    </xf>
    <xf numFmtId="0" fontId="39" fillId="0" borderId="48" xfId="1" applyFont="1" applyBorder="1" applyAlignment="1">
      <alignment vertical="center"/>
    </xf>
    <xf numFmtId="0" fontId="39" fillId="0" borderId="21" xfId="1" applyFont="1" applyBorder="1" applyAlignment="1">
      <alignment vertical="center"/>
    </xf>
    <xf numFmtId="0" fontId="6" fillId="2" borderId="44" xfId="5" applyFont="1" applyFill="1" applyBorder="1" applyAlignment="1">
      <alignment horizontal="center" vertical="center" wrapText="1"/>
    </xf>
    <xf numFmtId="0" fontId="33" fillId="0" borderId="2" xfId="1" applyFont="1" applyBorder="1" applyAlignment="1">
      <alignment vertical="center"/>
    </xf>
    <xf numFmtId="0" fontId="45" fillId="13" borderId="29" xfId="8" applyFont="1" applyFill="1" applyBorder="1" applyAlignment="1" applyProtection="1">
      <alignment horizontal="center" vertical="center"/>
      <protection locked="0"/>
    </xf>
    <xf numFmtId="0" fontId="45" fillId="13" borderId="6" xfId="8" applyFont="1" applyFill="1" applyBorder="1" applyAlignment="1" applyProtection="1">
      <alignment horizontal="center" vertical="center"/>
      <protection locked="0"/>
    </xf>
    <xf numFmtId="0" fontId="45" fillId="13" borderId="6" xfId="8" applyFont="1" applyFill="1" applyBorder="1" applyAlignment="1" applyProtection="1">
      <alignment vertical="center"/>
      <protection locked="0"/>
    </xf>
    <xf numFmtId="0" fontId="3" fillId="2" borderId="24" xfId="7" applyFont="1" applyFill="1" applyBorder="1" applyAlignment="1">
      <alignment vertical="top" wrapText="1"/>
    </xf>
    <xf numFmtId="0" fontId="3" fillId="2" borderId="40" xfId="7" applyFont="1" applyFill="1" applyBorder="1" applyAlignment="1">
      <alignment vertical="top" wrapText="1"/>
    </xf>
    <xf numFmtId="0" fontId="33" fillId="2" borderId="40" xfId="4" applyFont="1" applyFill="1" applyBorder="1" applyAlignment="1">
      <alignment vertical="top"/>
    </xf>
    <xf numFmtId="0" fontId="33" fillId="2" borderId="41" xfId="4" applyFont="1" applyFill="1" applyBorder="1" applyAlignment="1">
      <alignment vertical="top"/>
    </xf>
    <xf numFmtId="0" fontId="33" fillId="2" borderId="26" xfId="4" applyFont="1" applyFill="1" applyBorder="1" applyAlignment="1">
      <alignment vertical="top"/>
    </xf>
    <xf numFmtId="0" fontId="33" fillId="2" borderId="0" xfId="4" applyFont="1" applyFill="1" applyBorder="1" applyAlignment="1">
      <alignment vertical="top"/>
    </xf>
    <xf numFmtId="0" fontId="33" fillId="2" borderId="30" xfId="4" applyFont="1" applyFill="1" applyBorder="1" applyAlignment="1">
      <alignment vertical="top"/>
    </xf>
    <xf numFmtId="0" fontId="33" fillId="2" borderId="29" xfId="4" applyFont="1" applyFill="1" applyBorder="1" applyAlignment="1">
      <alignment vertical="top"/>
    </xf>
    <xf numFmtId="0" fontId="33" fillId="2" borderId="6" xfId="4" applyFont="1" applyFill="1" applyBorder="1" applyAlignment="1">
      <alignment vertical="top"/>
    </xf>
    <xf numFmtId="0" fontId="33" fillId="2" borderId="7" xfId="4" applyFont="1" applyFill="1" applyBorder="1" applyAlignment="1">
      <alignment vertical="top"/>
    </xf>
    <xf numFmtId="0" fontId="46" fillId="0" borderId="29" xfId="8" applyFont="1" applyFill="1" applyBorder="1" applyAlignment="1" applyProtection="1">
      <alignment horizontal="center" vertical="center"/>
      <protection locked="0"/>
    </xf>
    <xf numFmtId="0" fontId="46" fillId="0" borderId="6" xfId="8" applyFont="1" applyFill="1" applyBorder="1" applyAlignment="1" applyProtection="1">
      <alignment vertical="center"/>
      <protection locked="0"/>
    </xf>
  </cellXfs>
  <cellStyles count="11">
    <cellStyle name="Hyperlink" xfId="8" builtinId="8"/>
    <cellStyle name="Normal" xfId="0" builtinId="0"/>
    <cellStyle name="Normal 2" xfId="1"/>
    <cellStyle name="一般 2" xfId="2"/>
    <cellStyle name="一般 2 2" xfId="3"/>
    <cellStyle name="一般 2 3" xfId="9"/>
    <cellStyle name="一般 3" xfId="4"/>
    <cellStyle name="一般 4" xfId="10"/>
    <cellStyle name="一般_Sheet1" xfId="5"/>
    <cellStyle name="常规 2" xfId="6"/>
    <cellStyle name="常规_Flyback Transformer design for 3706" xfId="7"/>
  </cellStyles>
  <dxfs count="27">
    <dxf>
      <fill>
        <patternFill>
          <bgColor rgb="FFFF33CC"/>
        </patternFill>
      </fill>
    </dxf>
    <dxf>
      <fill>
        <patternFill>
          <bgColor rgb="FFFF33CC"/>
        </patternFill>
      </fill>
    </dxf>
    <dxf>
      <fill>
        <patternFill>
          <bgColor rgb="FFFFFF00"/>
        </patternFill>
      </fill>
    </dxf>
    <dxf>
      <fill>
        <patternFill>
          <bgColor theme="8" tint="0.59996337778862885"/>
        </patternFill>
      </fill>
    </dxf>
    <dxf>
      <fill>
        <patternFill>
          <bgColor rgb="FFFF33CC"/>
        </patternFill>
      </fill>
    </dxf>
    <dxf>
      <fill>
        <patternFill>
          <bgColor rgb="FFFF33CC"/>
        </patternFill>
      </fill>
    </dxf>
    <dxf>
      <fill>
        <patternFill>
          <bgColor theme="8" tint="0.59996337778862885"/>
        </patternFill>
      </fill>
    </dxf>
    <dxf>
      <font>
        <color rgb="FF800000"/>
      </font>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FF00"/>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FF00"/>
        </patternFill>
      </fill>
    </dxf>
    <dxf>
      <fill>
        <patternFill>
          <bgColor rgb="FFFF3399"/>
        </patternFill>
      </fill>
    </dxf>
    <dxf>
      <fill>
        <patternFill>
          <bgColor rgb="FFFFFF00"/>
        </patternFill>
      </fill>
    </dxf>
    <dxf>
      <fill>
        <patternFill>
          <bgColor rgb="FFFF3399"/>
        </patternFill>
      </fill>
    </dxf>
    <dxf>
      <fill>
        <patternFill>
          <bgColor rgb="FFFF3399"/>
        </patternFill>
      </fill>
    </dxf>
    <dxf>
      <fill>
        <patternFill>
          <bgColor rgb="FFFF3399"/>
        </patternFill>
      </fill>
    </dxf>
    <dxf>
      <fill>
        <patternFill>
          <bgColor rgb="FFFF3399"/>
        </patternFill>
      </fill>
    </dxf>
    <dxf>
      <fill>
        <patternFill>
          <bgColor rgb="FFFFFF00"/>
        </patternFill>
      </fill>
    </dxf>
    <dxf>
      <fill>
        <patternFill>
          <bgColor rgb="FFFFFF00"/>
        </patternFill>
      </fill>
    </dxf>
    <dxf>
      <fill>
        <patternFill>
          <bgColor rgb="FFFF3399"/>
        </patternFill>
      </fill>
    </dxf>
  </dxfs>
  <tableStyles count="0" defaultTableStyle="TableStyleMedium9" defaultPivotStyle="PivotStyleMedium4"/>
  <colors>
    <mruColors>
      <color rgb="FFFF33CC"/>
      <color rgb="FF800000"/>
      <color rgb="FF0000FF"/>
      <color rgb="FF660066"/>
      <color rgb="FFFF33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1962150</xdr:colOff>
      <xdr:row>0</xdr:row>
      <xdr:rowOff>495300</xdr:rowOff>
    </xdr:to>
    <xdr:pic>
      <xdr:nvPicPr>
        <xdr:cNvPr id="1033" name="圖片 1" descr="diodes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19050"/>
          <a:ext cx="19240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289560</xdr:colOff>
          <xdr:row>60</xdr:row>
          <xdr:rowOff>0</xdr:rowOff>
        </xdr:from>
        <xdr:to>
          <xdr:col>5</xdr:col>
          <xdr:colOff>4312920</xdr:colOff>
          <xdr:row>77</xdr:row>
          <xdr:rowOff>60960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s_su/AppData/Local/Temp/notes18476F/AL1788%20design%20sheet%20for%20flyback%2020161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ormer"/>
      <sheetName val="Worksheet"/>
      <sheetName val="Sheet2"/>
      <sheetName val="Core"/>
      <sheetName val="Sheet4"/>
    </sheetNames>
    <sheetDataSet>
      <sheetData sheetId="0" refreshError="1"/>
      <sheetData sheetId="1" refreshError="1">
        <row r="32">
          <cell r="B32">
            <v>0.25</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1">
    <tabColor rgb="FF00B050"/>
  </sheetPr>
  <dimension ref="B1:T74"/>
  <sheetViews>
    <sheetView tabSelected="1" topLeftCell="C37" zoomScale="90" zoomScaleNormal="90" workbookViewId="0">
      <selection activeCell="F55" sqref="F55"/>
    </sheetView>
  </sheetViews>
  <sheetFormatPr defaultColWidth="11" defaultRowHeight="13.8"/>
  <cols>
    <col min="1" max="1" width="11" style="37"/>
    <col min="2" max="2" width="67" style="37" customWidth="1"/>
    <col min="3" max="3" width="20.09765625" style="37" customWidth="1"/>
    <col min="4" max="4" width="8.5" style="37" customWidth="1"/>
    <col min="5" max="5" width="7.5" style="37" customWidth="1"/>
    <col min="6" max="6" width="67" style="37" customWidth="1"/>
    <col min="7" max="7" width="16.8984375" style="37" customWidth="1"/>
    <col min="8" max="8" width="8.5" style="37" customWidth="1"/>
    <col min="9" max="9" width="11" style="37"/>
    <col min="10" max="10" width="125.69921875" style="75" customWidth="1"/>
    <col min="11" max="13" width="11" style="37"/>
    <col min="14" max="14" width="12.09765625" style="37" bestFit="1" customWidth="1"/>
    <col min="15" max="16384" width="11" style="37"/>
  </cols>
  <sheetData>
    <row r="1" spans="2:20" ht="46.5" customHeight="1" thickBot="1">
      <c r="B1" s="169" t="s">
        <v>349</v>
      </c>
      <c r="C1" s="170"/>
      <c r="D1" s="170"/>
      <c r="E1" s="170"/>
      <c r="F1" s="170"/>
      <c r="G1" s="171" t="s">
        <v>405</v>
      </c>
      <c r="H1" s="172"/>
      <c r="K1" s="124"/>
      <c r="L1" s="124"/>
      <c r="M1" s="124"/>
      <c r="N1" s="124"/>
      <c r="O1" s="124"/>
      <c r="P1" s="124"/>
      <c r="Q1" s="124"/>
      <c r="R1" s="124"/>
      <c r="S1" s="124"/>
      <c r="T1" s="124"/>
    </row>
    <row r="2" spans="2:20" ht="22.5" customHeight="1" thickBot="1">
      <c r="B2" s="173"/>
      <c r="C2" s="174"/>
      <c r="D2" s="174"/>
      <c r="E2" s="174"/>
      <c r="F2" s="174"/>
      <c r="G2" s="174"/>
      <c r="H2" s="175"/>
      <c r="J2" s="123"/>
      <c r="K2" s="124"/>
      <c r="L2" s="124"/>
      <c r="M2" s="124"/>
      <c r="N2" s="124"/>
      <c r="O2" s="124"/>
      <c r="P2" s="124"/>
      <c r="Q2" s="124"/>
      <c r="R2" s="124"/>
      <c r="S2" s="124"/>
      <c r="T2" s="124"/>
    </row>
    <row r="3" spans="2:20" ht="22.5" customHeight="1">
      <c r="B3" s="176" t="s">
        <v>423</v>
      </c>
      <c r="C3" s="177"/>
      <c r="D3" s="177"/>
      <c r="E3" s="177"/>
      <c r="F3" s="177"/>
      <c r="G3" s="177"/>
      <c r="H3" s="178"/>
      <c r="J3" s="123"/>
      <c r="K3" s="124"/>
      <c r="L3" s="124"/>
      <c r="M3" s="124"/>
      <c r="N3" s="124"/>
      <c r="O3" s="124"/>
      <c r="P3" s="124"/>
      <c r="Q3" s="124"/>
      <c r="R3" s="124"/>
      <c r="S3" s="124"/>
      <c r="T3" s="124"/>
    </row>
    <row r="4" spans="2:20" ht="22.5" customHeight="1">
      <c r="B4" s="179"/>
      <c r="C4" s="180"/>
      <c r="D4" s="180"/>
      <c r="E4" s="180"/>
      <c r="F4" s="180"/>
      <c r="G4" s="180"/>
      <c r="H4" s="181"/>
      <c r="J4" s="123"/>
      <c r="K4" s="124"/>
      <c r="L4" s="124"/>
      <c r="M4" s="124"/>
      <c r="N4" s="124"/>
      <c r="O4" s="124"/>
      <c r="P4" s="124"/>
      <c r="Q4" s="124"/>
      <c r="R4" s="124"/>
      <c r="S4" s="124"/>
      <c r="T4" s="124"/>
    </row>
    <row r="5" spans="2:20" ht="22.5" customHeight="1">
      <c r="B5" s="179"/>
      <c r="C5" s="180"/>
      <c r="D5" s="180"/>
      <c r="E5" s="180"/>
      <c r="F5" s="180"/>
      <c r="G5" s="180"/>
      <c r="H5" s="181"/>
      <c r="J5" s="123"/>
      <c r="K5" s="124"/>
      <c r="L5" s="124"/>
      <c r="M5" s="124"/>
      <c r="N5" s="124"/>
      <c r="O5" s="124"/>
      <c r="P5" s="124"/>
      <c r="Q5" s="124"/>
      <c r="R5" s="124"/>
      <c r="S5" s="124"/>
      <c r="T5" s="124"/>
    </row>
    <row r="6" spans="2:20" ht="22.5" customHeight="1" thickBot="1">
      <c r="B6" s="182"/>
      <c r="C6" s="183"/>
      <c r="D6" s="183"/>
      <c r="E6" s="183"/>
      <c r="F6" s="183"/>
      <c r="G6" s="183"/>
      <c r="H6" s="184"/>
      <c r="J6" s="132" t="s">
        <v>375</v>
      </c>
      <c r="K6" s="124"/>
      <c r="L6" s="124"/>
      <c r="M6" s="124"/>
      <c r="N6" s="124"/>
      <c r="O6" s="124"/>
      <c r="P6" s="124"/>
      <c r="Q6" s="124"/>
      <c r="R6" s="124"/>
      <c r="S6" s="124"/>
      <c r="T6" s="124"/>
    </row>
    <row r="7" spans="2:20" ht="22.5" customHeight="1" thickBot="1">
      <c r="B7" s="55"/>
      <c r="C7" s="56"/>
      <c r="D7" s="56"/>
      <c r="E7" s="56"/>
      <c r="F7" s="56"/>
      <c r="G7" s="56"/>
      <c r="H7" s="60"/>
      <c r="J7" s="123"/>
      <c r="K7" s="124"/>
      <c r="L7" s="124"/>
      <c r="M7" s="124"/>
      <c r="N7" s="124"/>
      <c r="O7" s="124"/>
      <c r="P7" s="124"/>
      <c r="Q7" s="124"/>
      <c r="R7" s="124"/>
      <c r="S7" s="124"/>
      <c r="T7" s="124"/>
    </row>
    <row r="8" spans="2:20" ht="22.5" customHeight="1" thickBot="1">
      <c r="B8" s="186" t="s">
        <v>350</v>
      </c>
      <c r="C8" s="187"/>
      <c r="D8" s="187"/>
      <c r="E8" s="187"/>
      <c r="F8" s="187"/>
      <c r="G8" s="187"/>
      <c r="H8" s="188"/>
      <c r="J8" s="126" t="s">
        <v>376</v>
      </c>
      <c r="K8" s="125"/>
      <c r="L8" s="125"/>
      <c r="M8" s="125"/>
      <c r="N8" s="125"/>
      <c r="O8" s="125"/>
      <c r="P8" s="125"/>
      <c r="Q8" s="125"/>
      <c r="R8" s="125"/>
      <c r="S8" s="125"/>
      <c r="T8" s="125"/>
    </row>
    <row r="9" spans="2:20" ht="22.5" customHeight="1">
      <c r="B9" s="38" t="s">
        <v>424</v>
      </c>
      <c r="C9" s="71">
        <v>90</v>
      </c>
      <c r="D9" s="110" t="s">
        <v>394</v>
      </c>
      <c r="E9" s="142"/>
      <c r="F9" s="38" t="s">
        <v>450</v>
      </c>
      <c r="G9" s="72">
        <v>42.5</v>
      </c>
      <c r="H9" s="110" t="s">
        <v>359</v>
      </c>
      <c r="J9" s="123" t="s">
        <v>395</v>
      </c>
      <c r="K9" s="125"/>
      <c r="L9" s="125"/>
      <c r="M9" s="125"/>
      <c r="N9" s="125"/>
      <c r="O9" s="125"/>
      <c r="P9" s="125"/>
      <c r="Q9" s="125"/>
      <c r="R9" s="125"/>
      <c r="S9" s="125"/>
      <c r="T9" s="125"/>
    </row>
    <row r="10" spans="2:20" ht="22.5" customHeight="1">
      <c r="B10" s="39" t="s">
        <v>425</v>
      </c>
      <c r="C10" s="40">
        <v>264</v>
      </c>
      <c r="D10" s="111" t="s">
        <v>394</v>
      </c>
      <c r="E10" s="36"/>
      <c r="F10" s="39" t="s">
        <v>451</v>
      </c>
      <c r="G10" s="46">
        <v>0.75</v>
      </c>
      <c r="H10" s="111" t="s">
        <v>360</v>
      </c>
      <c r="J10" s="123" t="s">
        <v>396</v>
      </c>
      <c r="K10" s="125"/>
      <c r="L10" s="125"/>
      <c r="M10" s="125"/>
      <c r="N10" s="125"/>
      <c r="O10" s="125"/>
      <c r="P10" s="125"/>
      <c r="Q10" s="125"/>
      <c r="R10" s="125"/>
      <c r="S10" s="125"/>
      <c r="T10" s="125"/>
    </row>
    <row r="11" spans="2:20" ht="22.5" customHeight="1">
      <c r="B11" s="39" t="s">
        <v>426</v>
      </c>
      <c r="C11" s="40">
        <v>60</v>
      </c>
      <c r="D11" s="111" t="s">
        <v>353</v>
      </c>
      <c r="E11" s="36"/>
      <c r="F11" s="39" t="s">
        <v>452</v>
      </c>
      <c r="G11" s="46">
        <v>1.1000000000000001</v>
      </c>
      <c r="H11" s="111" t="s">
        <v>373</v>
      </c>
      <c r="J11" s="123" t="s">
        <v>406</v>
      </c>
      <c r="K11" s="125"/>
      <c r="L11" s="125"/>
      <c r="M11" s="125"/>
      <c r="N11" s="125"/>
      <c r="O11" s="125"/>
      <c r="P11" s="125"/>
      <c r="Q11" s="125"/>
      <c r="R11" s="125"/>
      <c r="S11" s="125"/>
      <c r="T11" s="125"/>
    </row>
    <row r="12" spans="2:20" ht="22.5" customHeight="1">
      <c r="B12" s="39" t="s">
        <v>427</v>
      </c>
      <c r="C12" s="40">
        <v>30</v>
      </c>
      <c r="D12" s="112" t="s">
        <v>354</v>
      </c>
      <c r="E12" s="36"/>
      <c r="F12" s="153" t="s">
        <v>453</v>
      </c>
      <c r="G12" s="155" t="s">
        <v>419</v>
      </c>
      <c r="H12" s="157"/>
      <c r="J12" s="123" t="s">
        <v>407</v>
      </c>
      <c r="K12" s="125"/>
      <c r="L12" s="125"/>
      <c r="M12" s="125"/>
      <c r="N12" s="125"/>
      <c r="O12" s="125"/>
      <c r="P12" s="125"/>
      <c r="Q12" s="125"/>
      <c r="R12" s="125"/>
      <c r="S12" s="125"/>
      <c r="T12" s="125"/>
    </row>
    <row r="13" spans="2:20" ht="22.5" customHeight="1">
      <c r="B13" s="185" t="str">
        <f>IF(C12&gt;80,"Reduce Fsw below 80KHz", "Fsw check OK!")</f>
        <v>Fsw check OK!</v>
      </c>
      <c r="C13" s="167"/>
      <c r="D13" s="168"/>
      <c r="E13" s="36"/>
      <c r="F13" s="154"/>
      <c r="G13" s="156"/>
      <c r="H13" s="158"/>
      <c r="J13" s="148" t="s">
        <v>408</v>
      </c>
      <c r="K13" s="125"/>
      <c r="L13" s="125"/>
      <c r="M13" s="125"/>
      <c r="N13" s="125"/>
      <c r="O13" s="125"/>
      <c r="P13" s="125"/>
      <c r="Q13" s="125"/>
      <c r="R13" s="125"/>
      <c r="S13" s="125"/>
      <c r="T13" s="125"/>
    </row>
    <row r="14" spans="2:20" ht="22.5" customHeight="1">
      <c r="B14" s="76" t="s">
        <v>429</v>
      </c>
      <c r="C14" s="96" t="str">
        <f>'TRX Selection'!D5</f>
        <v>PQ26/25</v>
      </c>
      <c r="D14" s="113"/>
      <c r="E14" s="36"/>
      <c r="F14" s="45" t="s">
        <v>454</v>
      </c>
      <c r="G14" s="46">
        <v>18</v>
      </c>
      <c r="H14" s="112" t="s">
        <v>53</v>
      </c>
      <c r="J14" s="149"/>
      <c r="K14" s="125"/>
      <c r="L14" s="125"/>
      <c r="M14" s="125"/>
      <c r="N14" s="125"/>
      <c r="O14" s="125"/>
      <c r="P14" s="125"/>
      <c r="Q14" s="125"/>
      <c r="R14" s="125"/>
      <c r="S14" s="125"/>
      <c r="T14" s="125"/>
    </row>
    <row r="15" spans="2:20" ht="22.5" customHeight="1">
      <c r="B15" s="39" t="s">
        <v>428</v>
      </c>
      <c r="C15" s="97">
        <f>(G9*G10)/G15</f>
        <v>36.637931034482762</v>
      </c>
      <c r="D15" s="111" t="s">
        <v>371</v>
      </c>
      <c r="E15" s="36"/>
      <c r="F15" s="39" t="s">
        <v>455</v>
      </c>
      <c r="G15" s="145">
        <v>0.87</v>
      </c>
      <c r="H15" s="111"/>
      <c r="J15" s="123" t="s">
        <v>409</v>
      </c>
      <c r="K15" s="124"/>
      <c r="L15" s="124"/>
      <c r="M15" s="124"/>
      <c r="N15" s="124"/>
      <c r="O15" s="124"/>
      <c r="P15" s="124"/>
      <c r="Q15" s="124"/>
      <c r="R15" s="124"/>
      <c r="S15" s="124"/>
      <c r="T15" s="124"/>
    </row>
    <row r="16" spans="2:20" ht="22.5" customHeight="1" thickBot="1">
      <c r="B16" s="42" t="s">
        <v>374</v>
      </c>
      <c r="C16" s="98">
        <v>0.95</v>
      </c>
      <c r="D16" s="114"/>
      <c r="E16" s="143"/>
      <c r="F16" s="89"/>
      <c r="G16" s="90"/>
      <c r="H16" s="146"/>
      <c r="J16" s="123"/>
      <c r="K16" s="124"/>
      <c r="L16" s="124"/>
      <c r="M16" s="124"/>
      <c r="N16" s="124"/>
      <c r="O16" s="124"/>
      <c r="P16" s="124"/>
      <c r="Q16" s="124"/>
      <c r="R16" s="124"/>
      <c r="S16" s="124"/>
      <c r="T16" s="124"/>
    </row>
    <row r="17" spans="2:20" ht="22.5" customHeight="1" thickBot="1">
      <c r="J17" s="126" t="s">
        <v>397</v>
      </c>
      <c r="K17" s="125"/>
      <c r="L17" s="125"/>
      <c r="M17" s="125"/>
      <c r="N17" s="125"/>
      <c r="O17" s="125"/>
      <c r="P17" s="125"/>
      <c r="Q17" s="125"/>
      <c r="R17" s="125"/>
      <c r="S17" s="125"/>
      <c r="T17" s="125"/>
    </row>
    <row r="18" spans="2:20" ht="22.5" customHeight="1" thickBot="1">
      <c r="B18" s="186" t="s">
        <v>351</v>
      </c>
      <c r="C18" s="195"/>
      <c r="D18" s="195"/>
      <c r="E18" s="195"/>
      <c r="F18" s="195"/>
      <c r="G18" s="195"/>
      <c r="H18" s="196"/>
      <c r="J18" s="123" t="s">
        <v>398</v>
      </c>
      <c r="K18" s="125"/>
      <c r="L18" s="125"/>
      <c r="M18" s="125"/>
      <c r="N18" s="125"/>
      <c r="O18" s="125"/>
      <c r="P18" s="125"/>
      <c r="Q18" s="125"/>
      <c r="R18" s="125"/>
      <c r="S18" s="125"/>
      <c r="T18" s="125"/>
    </row>
    <row r="19" spans="2:20" ht="22.5" customHeight="1">
      <c r="B19" s="38" t="s">
        <v>430</v>
      </c>
      <c r="C19" s="43">
        <v>1.46</v>
      </c>
      <c r="D19" s="115"/>
      <c r="E19" s="107"/>
      <c r="F19" s="38" t="s">
        <v>456</v>
      </c>
      <c r="G19" s="66">
        <f>MIN((90*SQRT(2)*1.3)/((G9+G11)*2.6),(264*SQRT(2)*0.65)/((G9+G11)*2.8))</f>
        <v>1.4596240896052586</v>
      </c>
      <c r="H19" s="110"/>
      <c r="J19" s="123"/>
      <c r="K19" s="124"/>
      <c r="L19" s="124"/>
      <c r="M19" s="124"/>
      <c r="N19" s="124"/>
      <c r="O19" s="124"/>
      <c r="P19" s="124"/>
      <c r="Q19" s="124"/>
      <c r="R19" s="124"/>
      <c r="S19" s="124"/>
      <c r="T19" s="124"/>
    </row>
    <row r="20" spans="2:20" ht="22.5" customHeight="1">
      <c r="B20" s="166" t="str">
        <f>IF(G19&gt;C19-0.01,"Nt check OK!", "Please reduce Nt")</f>
        <v>Nt check OK!</v>
      </c>
      <c r="C20" s="167"/>
      <c r="D20" s="168"/>
      <c r="E20" s="106"/>
      <c r="F20" s="39" t="s">
        <v>457</v>
      </c>
      <c r="G20" s="41" t="str">
        <f>IF(C55*C45&lt;=1.25,"OK","Decrease Nt")</f>
        <v>OK</v>
      </c>
      <c r="H20" s="111"/>
      <c r="J20" s="123"/>
      <c r="K20" s="125"/>
      <c r="L20" s="125"/>
      <c r="M20" s="125"/>
      <c r="N20" s="125"/>
      <c r="O20" s="125"/>
      <c r="P20" s="125"/>
      <c r="Q20" s="125"/>
      <c r="R20" s="125"/>
      <c r="S20" s="125"/>
      <c r="T20" s="125"/>
    </row>
    <row r="21" spans="2:20" ht="22.5" customHeight="1" thickBot="1">
      <c r="B21" s="47" t="s">
        <v>431</v>
      </c>
      <c r="C21" s="109">
        <f>C51*G55/C55/1000</f>
        <v>0.40955235079974428</v>
      </c>
      <c r="D21" s="114" t="s">
        <v>355</v>
      </c>
      <c r="E21" s="108"/>
      <c r="F21" s="42" t="s">
        <v>458</v>
      </c>
      <c r="G21" s="94">
        <f>1/(1+C51/((G9+G11)*C19))</f>
        <v>0.33339055935012252</v>
      </c>
      <c r="H21" s="114"/>
      <c r="J21" s="123"/>
      <c r="K21" s="124"/>
      <c r="L21" s="124"/>
      <c r="M21" s="124"/>
      <c r="N21" s="124"/>
      <c r="O21" s="124"/>
      <c r="P21" s="124"/>
      <c r="Q21" s="124"/>
      <c r="R21" s="124"/>
      <c r="S21" s="124"/>
      <c r="T21" s="124"/>
    </row>
    <row r="22" spans="2:20" ht="22.5" customHeight="1" thickBot="1">
      <c r="J22" s="126" t="s">
        <v>399</v>
      </c>
      <c r="K22" s="125"/>
      <c r="L22" s="125"/>
      <c r="M22" s="125"/>
      <c r="N22" s="125"/>
      <c r="O22" s="125"/>
      <c r="P22" s="125"/>
      <c r="Q22" s="125"/>
      <c r="R22" s="125"/>
      <c r="S22" s="125"/>
      <c r="T22" s="125"/>
    </row>
    <row r="23" spans="2:20" ht="22.5" customHeight="1" thickBot="1">
      <c r="B23" s="186" t="s">
        <v>352</v>
      </c>
      <c r="C23" s="197"/>
      <c r="D23" s="197"/>
      <c r="E23" s="198"/>
      <c r="F23" s="197"/>
      <c r="G23" s="197"/>
      <c r="H23" s="199"/>
      <c r="J23" s="123" t="s">
        <v>410</v>
      </c>
      <c r="K23" s="125"/>
      <c r="L23" s="125"/>
      <c r="M23" s="125"/>
      <c r="N23" s="125"/>
      <c r="O23" s="125"/>
      <c r="P23" s="125"/>
      <c r="Q23" s="125"/>
      <c r="R23" s="125"/>
      <c r="S23" s="125"/>
      <c r="T23" s="125"/>
    </row>
    <row r="24" spans="2:20" ht="22.5" customHeight="1">
      <c r="B24" s="44" t="s">
        <v>432</v>
      </c>
      <c r="C24" s="61">
        <v>0.41</v>
      </c>
      <c r="D24" s="110" t="s">
        <v>355</v>
      </c>
      <c r="E24" s="102"/>
      <c r="F24" s="44" t="s">
        <v>459</v>
      </c>
      <c r="G24" s="105" t="str">
        <f>C14</f>
        <v>PQ26/25</v>
      </c>
      <c r="H24" s="110"/>
      <c r="J24" s="123" t="s">
        <v>400</v>
      </c>
      <c r="K24" s="125"/>
      <c r="L24" s="125"/>
      <c r="M24" s="125"/>
      <c r="N24" s="125"/>
      <c r="O24" s="125"/>
      <c r="P24" s="125"/>
      <c r="Q24" s="125"/>
      <c r="R24" s="125"/>
      <c r="S24" s="125"/>
      <c r="T24" s="125"/>
    </row>
    <row r="25" spans="2:20" ht="22.5" customHeight="1">
      <c r="B25" s="189" t="str">
        <f>IF((C21*0.9)&gt;C24,"Increase Inductance or Fsw",(IF((C21*1.1)&lt;C24,"Reduce Inductance or Fsw","Inductance check OK!")))</f>
        <v>Inductance check OK!</v>
      </c>
      <c r="C25" s="190"/>
      <c r="D25" s="191"/>
      <c r="E25" s="103"/>
      <c r="F25" s="45" t="s">
        <v>460</v>
      </c>
      <c r="G25" s="93">
        <f>'TRX Selection'!H5</f>
        <v>118</v>
      </c>
      <c r="H25" s="111" t="s">
        <v>357</v>
      </c>
      <c r="J25" s="123" t="s">
        <v>401</v>
      </c>
      <c r="K25" s="125"/>
      <c r="L25" s="125"/>
      <c r="M25" s="125"/>
      <c r="N25" s="125"/>
      <c r="O25" s="125"/>
      <c r="P25" s="125"/>
      <c r="Q25" s="125"/>
      <c r="R25" s="125"/>
      <c r="S25" s="125"/>
      <c r="T25" s="125"/>
    </row>
    <row r="26" spans="2:20" ht="22.5" customHeight="1">
      <c r="B26" s="45" t="s">
        <v>433</v>
      </c>
      <c r="C26" s="46">
        <v>0.31</v>
      </c>
      <c r="D26" s="112" t="s">
        <v>356</v>
      </c>
      <c r="E26" s="103"/>
      <c r="F26" s="45" t="s">
        <v>461</v>
      </c>
      <c r="G26" s="92">
        <f>_xlfn.CEILING.PRECISE(C24*C55/C26/G25*1000)</f>
        <v>39</v>
      </c>
      <c r="H26" s="111" t="s">
        <v>361</v>
      </c>
      <c r="J26" s="148" t="s">
        <v>411</v>
      </c>
      <c r="K26" s="123"/>
      <c r="L26" s="123"/>
      <c r="M26" s="123"/>
      <c r="N26" s="123"/>
      <c r="O26" s="123"/>
      <c r="P26" s="123"/>
      <c r="Q26" s="123"/>
      <c r="R26" s="123"/>
      <c r="S26" s="123"/>
      <c r="T26" s="123"/>
    </row>
    <row r="27" spans="2:20" ht="22.5" customHeight="1">
      <c r="B27" s="45" t="s">
        <v>434</v>
      </c>
      <c r="C27" s="46">
        <v>6</v>
      </c>
      <c r="D27" s="112" t="s">
        <v>358</v>
      </c>
      <c r="E27" s="103"/>
      <c r="F27" s="45" t="s">
        <v>462</v>
      </c>
      <c r="G27" s="92">
        <f>_xlfn.CEILING.PRECISE(G26/C19)</f>
        <v>27</v>
      </c>
      <c r="H27" s="111" t="s">
        <v>361</v>
      </c>
      <c r="J27" s="149"/>
      <c r="K27" s="125"/>
      <c r="L27" s="125"/>
      <c r="M27" s="125"/>
      <c r="N27" s="125"/>
      <c r="O27" s="125"/>
      <c r="P27" s="125"/>
      <c r="Q27" s="125"/>
      <c r="R27" s="125"/>
      <c r="S27" s="125"/>
      <c r="T27" s="125"/>
    </row>
    <row r="28" spans="2:20" ht="22.5" customHeight="1">
      <c r="B28" s="45" t="s">
        <v>435</v>
      </c>
      <c r="C28" s="46">
        <v>0.95</v>
      </c>
      <c r="D28" s="111"/>
      <c r="E28" s="103"/>
      <c r="F28" s="45" t="s">
        <v>463</v>
      </c>
      <c r="G28" s="92">
        <f>((G14+1)/(G9+G11))*G27</f>
        <v>11.766055045871559</v>
      </c>
      <c r="H28" s="111" t="s">
        <v>361</v>
      </c>
      <c r="J28" s="123" t="s">
        <v>412</v>
      </c>
      <c r="K28" s="125"/>
      <c r="L28" s="125"/>
      <c r="M28" s="125"/>
      <c r="N28" s="125"/>
      <c r="O28" s="125"/>
      <c r="P28" s="125"/>
      <c r="Q28" s="125"/>
      <c r="R28" s="125"/>
      <c r="S28" s="125"/>
      <c r="T28" s="125"/>
    </row>
    <row r="29" spans="2:20" ht="22.5" customHeight="1">
      <c r="B29" s="74"/>
      <c r="C29" s="67"/>
      <c r="D29" s="116"/>
      <c r="E29" s="103"/>
      <c r="F29" s="45" t="s">
        <v>464</v>
      </c>
      <c r="G29" s="93">
        <f>SQRT(C53/C27/PI()*4)</f>
        <v>0.29391628510318657</v>
      </c>
      <c r="H29" s="111" t="s">
        <v>362</v>
      </c>
      <c r="J29" s="148" t="s">
        <v>413</v>
      </c>
      <c r="K29" s="124"/>
      <c r="L29" s="124"/>
      <c r="M29" s="124"/>
      <c r="N29" s="124"/>
      <c r="O29" s="124"/>
      <c r="P29" s="124"/>
      <c r="Q29" s="124"/>
      <c r="R29" s="124"/>
      <c r="S29" s="124"/>
      <c r="T29" s="124"/>
    </row>
    <row r="30" spans="2:20" ht="22.5" customHeight="1" thickBot="1">
      <c r="B30" s="89"/>
      <c r="C30" s="90"/>
      <c r="D30" s="117"/>
      <c r="E30" s="104"/>
      <c r="F30" s="47" t="s">
        <v>465</v>
      </c>
      <c r="G30" s="94">
        <f>SQRT(G54/SQRT(2)/C27/PI()*4)</f>
        <v>0.50217970683365176</v>
      </c>
      <c r="H30" s="114" t="s">
        <v>362</v>
      </c>
      <c r="J30" s="149"/>
      <c r="K30" s="124"/>
      <c r="L30" s="124"/>
      <c r="M30" s="124"/>
      <c r="N30" s="124"/>
      <c r="O30" s="124"/>
      <c r="P30" s="124"/>
      <c r="Q30" s="124"/>
      <c r="R30" s="124"/>
      <c r="S30" s="124"/>
      <c r="T30" s="124"/>
    </row>
    <row r="31" spans="2:20" ht="22.5" customHeight="1" thickBot="1">
      <c r="J31" s="123"/>
      <c r="K31" s="124"/>
      <c r="L31" s="124"/>
      <c r="M31" s="124"/>
      <c r="N31" s="124"/>
      <c r="O31" s="124"/>
      <c r="P31" s="124"/>
      <c r="Q31" s="124"/>
      <c r="R31" s="124"/>
      <c r="S31" s="124"/>
      <c r="T31" s="124"/>
    </row>
    <row r="32" spans="2:20" ht="22.5" customHeight="1" thickBot="1">
      <c r="B32" s="186" t="s">
        <v>367</v>
      </c>
      <c r="C32" s="197"/>
      <c r="D32" s="197"/>
      <c r="E32" s="197"/>
      <c r="F32" s="197"/>
      <c r="G32" s="197"/>
      <c r="H32" s="199"/>
      <c r="J32" s="37"/>
      <c r="K32" s="124"/>
      <c r="L32" s="124"/>
      <c r="M32" s="124"/>
      <c r="N32" s="124"/>
      <c r="O32" s="124"/>
      <c r="P32" s="124"/>
      <c r="Q32" s="124"/>
      <c r="R32" s="124"/>
      <c r="S32" s="124"/>
      <c r="T32" s="124"/>
    </row>
    <row r="33" spans="2:20" ht="22.5" customHeight="1">
      <c r="B33" s="127" t="s">
        <v>444</v>
      </c>
      <c r="C33" s="139">
        <v>39</v>
      </c>
      <c r="D33" s="110" t="s">
        <v>386</v>
      </c>
      <c r="E33" s="133"/>
      <c r="F33" s="131" t="s">
        <v>388</v>
      </c>
      <c r="G33" s="95">
        <f>C33/C34</f>
        <v>1.4444444444444444</v>
      </c>
      <c r="H33" s="110"/>
      <c r="J33" s="126" t="s">
        <v>377</v>
      </c>
      <c r="K33" s="124"/>
      <c r="L33" s="124"/>
      <c r="M33" s="124"/>
      <c r="N33" s="124"/>
      <c r="O33" s="124"/>
      <c r="P33" s="124"/>
      <c r="Q33" s="124"/>
      <c r="R33" s="124"/>
      <c r="S33" s="124"/>
      <c r="T33" s="124"/>
    </row>
    <row r="34" spans="2:20" ht="22.5" customHeight="1">
      <c r="B34" s="128" t="s">
        <v>445</v>
      </c>
      <c r="C34" s="59">
        <v>27</v>
      </c>
      <c r="D34" s="111" t="s">
        <v>386</v>
      </c>
      <c r="E34" s="134"/>
      <c r="F34" s="129" t="s">
        <v>389</v>
      </c>
      <c r="G34" s="97">
        <f>IF(G12="Yes",(C33/C37), (C33/C34))</f>
        <v>3.25</v>
      </c>
      <c r="H34" s="111"/>
      <c r="J34" s="148" t="s">
        <v>421</v>
      </c>
      <c r="K34" s="124"/>
      <c r="L34" s="124"/>
      <c r="M34" s="124"/>
      <c r="N34" s="124"/>
      <c r="O34" s="124"/>
      <c r="P34" s="124"/>
      <c r="Q34" s="124"/>
      <c r="R34" s="124"/>
      <c r="S34" s="124"/>
      <c r="T34" s="124"/>
    </row>
    <row r="35" spans="2:20" ht="22.5" customHeight="1">
      <c r="B35" s="128" t="s">
        <v>446</v>
      </c>
      <c r="C35" s="59">
        <v>12</v>
      </c>
      <c r="D35" s="111" t="s">
        <v>403</v>
      </c>
      <c r="E35" s="134"/>
      <c r="F35" s="129" t="s">
        <v>466</v>
      </c>
      <c r="G35" s="100">
        <f>MAX(SQRT(2)*264/(650*G34)*1000,(MAX(((0.65*SQRT(2)*264)/(432*G34)*1000),(0))))</f>
        <v>176.73485465869683</v>
      </c>
      <c r="H35" s="111" t="s">
        <v>390</v>
      </c>
      <c r="J35" s="149"/>
      <c r="K35" s="124"/>
      <c r="L35" s="124"/>
      <c r="M35" s="124"/>
      <c r="N35" s="124"/>
      <c r="O35" s="124"/>
      <c r="P35" s="124"/>
      <c r="Q35" s="124"/>
      <c r="R35" s="124"/>
      <c r="S35" s="124"/>
      <c r="T35" s="124"/>
    </row>
    <row r="36" spans="2:20" ht="22.5" customHeight="1">
      <c r="B36" s="128" t="s">
        <v>443</v>
      </c>
      <c r="C36" s="59" t="s">
        <v>422</v>
      </c>
      <c r="D36" s="111"/>
      <c r="E36" s="135"/>
      <c r="F36" s="129" t="s">
        <v>467</v>
      </c>
      <c r="G36" s="91">
        <f>IF(C38&lt;(G35-20),"Increase R5", (IF(C38&lt;(G35-20),"Increase R5", (IF(C38&gt;G35*1.1,"Decrease R5", ((C38*1.2)/(((G9+G11)*(C37/C34))-1.2)))))))</f>
        <v>11.882640586797066</v>
      </c>
      <c r="H36" s="112" t="s">
        <v>390</v>
      </c>
      <c r="J36" s="123" t="s">
        <v>414</v>
      </c>
      <c r="K36" s="124"/>
      <c r="L36" s="124"/>
      <c r="M36" s="124"/>
      <c r="N36" s="124"/>
      <c r="O36" s="124"/>
      <c r="P36" s="124"/>
      <c r="Q36" s="124"/>
      <c r="R36" s="124"/>
      <c r="S36" s="124"/>
      <c r="T36" s="124"/>
    </row>
    <row r="37" spans="2:20" ht="22.5" customHeight="1">
      <c r="B37" s="128" t="s">
        <v>442</v>
      </c>
      <c r="C37" s="138">
        <f>IF(G12="Yes", C35, C34)</f>
        <v>12</v>
      </c>
      <c r="D37" s="111" t="s">
        <v>387</v>
      </c>
      <c r="E37" s="135"/>
      <c r="F37" s="129" t="s">
        <v>468</v>
      </c>
      <c r="G37" s="88">
        <f>(G9+G11)*C37/C34</f>
        <v>19.37777777777778</v>
      </c>
      <c r="H37" s="111" t="s">
        <v>359</v>
      </c>
      <c r="J37" s="123" t="s">
        <v>416</v>
      </c>
      <c r="K37" s="124"/>
      <c r="L37" s="124"/>
      <c r="M37" s="124"/>
      <c r="N37" s="124"/>
      <c r="O37" s="124"/>
      <c r="P37" s="124"/>
      <c r="Q37" s="124"/>
      <c r="R37" s="124"/>
      <c r="S37" s="124"/>
      <c r="T37" s="124"/>
    </row>
    <row r="38" spans="2:20" ht="22.5" customHeight="1">
      <c r="B38" s="129" t="s">
        <v>440</v>
      </c>
      <c r="C38" s="140">
        <v>180</v>
      </c>
      <c r="D38" s="111" t="s">
        <v>390</v>
      </c>
      <c r="E38" s="136"/>
      <c r="F38" s="129" t="s">
        <v>469</v>
      </c>
      <c r="G38" s="147">
        <f>IF(G12="Yes", (IF(C36="Yes", ((((C38+C39)/C39*1.2)*C34/C37)-G11)*0.97, ((((C38+C39)/C39*1.2)*C34/C37)-G11))), (IF(C36="Yes", (((C38+C39)/C39*1.2)-G11)*0.97, (((C38+C39)/C39*1.2)-G11))))</f>
        <v>42.545043478260865</v>
      </c>
      <c r="H38" s="111" t="s">
        <v>391</v>
      </c>
      <c r="J38" s="123"/>
      <c r="K38" s="124"/>
      <c r="L38" s="124"/>
      <c r="M38" s="124"/>
      <c r="N38" s="124"/>
      <c r="O38" s="124"/>
      <c r="P38" s="124"/>
      <c r="Q38" s="124"/>
      <c r="R38" s="124"/>
      <c r="S38" s="124"/>
      <c r="T38" s="124"/>
    </row>
    <row r="39" spans="2:20" ht="22.5" customHeight="1" thickBot="1">
      <c r="B39" s="130" t="s">
        <v>441</v>
      </c>
      <c r="C39" s="141">
        <v>11.5</v>
      </c>
      <c r="D39" s="114" t="s">
        <v>402</v>
      </c>
      <c r="E39" s="137"/>
      <c r="F39" s="89"/>
      <c r="G39" s="90"/>
      <c r="H39" s="146"/>
      <c r="J39" s="123"/>
      <c r="K39" s="124"/>
      <c r="L39" s="124"/>
      <c r="M39" s="124"/>
      <c r="N39" s="124"/>
      <c r="O39" s="124"/>
      <c r="P39" s="124"/>
      <c r="Q39" s="124"/>
      <c r="R39" s="124"/>
      <c r="S39" s="124"/>
      <c r="T39" s="124"/>
    </row>
    <row r="40" spans="2:20" ht="22.5" customHeight="1" thickBot="1">
      <c r="M40" s="124"/>
      <c r="N40" s="124"/>
      <c r="O40" s="124"/>
      <c r="P40" s="124"/>
      <c r="Q40" s="124"/>
      <c r="R40" s="124"/>
      <c r="S40" s="124"/>
      <c r="T40" s="124"/>
    </row>
    <row r="41" spans="2:20" ht="22.5" customHeight="1" thickBot="1">
      <c r="B41" s="163" t="s">
        <v>368</v>
      </c>
      <c r="C41" s="164"/>
      <c r="D41" s="164"/>
      <c r="E41" s="164"/>
      <c r="F41" s="164"/>
      <c r="G41" s="164"/>
      <c r="H41" s="165"/>
      <c r="J41" s="126" t="s">
        <v>420</v>
      </c>
      <c r="K41" s="124"/>
      <c r="L41" s="124"/>
      <c r="M41" s="124"/>
      <c r="N41" s="124"/>
      <c r="O41" s="124"/>
      <c r="P41" s="124"/>
      <c r="Q41" s="124"/>
      <c r="R41" s="124"/>
      <c r="S41" s="124"/>
      <c r="T41" s="124"/>
    </row>
    <row r="42" spans="2:20" ht="22.5" customHeight="1" thickBot="1">
      <c r="B42" s="57" t="s">
        <v>439</v>
      </c>
      <c r="C42" s="58">
        <v>3.3</v>
      </c>
      <c r="D42" s="119" t="s">
        <v>53</v>
      </c>
      <c r="E42" s="48"/>
      <c r="F42" s="42" t="s">
        <v>470</v>
      </c>
      <c r="G42" s="94">
        <f>G10/(2*2*C11*C42)*1000000</f>
        <v>946.969696969697</v>
      </c>
      <c r="H42" s="114" t="s">
        <v>370</v>
      </c>
      <c r="J42" s="123" t="s">
        <v>415</v>
      </c>
      <c r="K42" s="124"/>
      <c r="L42" s="124"/>
      <c r="M42" s="124"/>
      <c r="N42" s="124"/>
      <c r="O42" s="124"/>
      <c r="P42" s="124"/>
      <c r="Q42" s="124"/>
      <c r="R42" s="124"/>
      <c r="S42" s="124"/>
      <c r="T42" s="124"/>
    </row>
    <row r="43" spans="2:20" ht="22.5" customHeight="1" thickBot="1">
      <c r="B43" s="150"/>
      <c r="C43" s="151"/>
      <c r="D43" s="151"/>
      <c r="E43" s="151"/>
      <c r="F43" s="151"/>
      <c r="G43" s="151"/>
      <c r="H43" s="152"/>
      <c r="J43" s="123"/>
      <c r="K43" s="124"/>
      <c r="L43" s="124"/>
      <c r="M43" s="124"/>
      <c r="N43" s="124"/>
      <c r="O43" s="124"/>
      <c r="P43" s="124"/>
      <c r="Q43" s="124"/>
      <c r="R43" s="124"/>
      <c r="S43" s="124"/>
      <c r="T43" s="124"/>
    </row>
    <row r="44" spans="2:20" ht="22.5" customHeight="1" thickBot="1">
      <c r="B44" s="192" t="s">
        <v>363</v>
      </c>
      <c r="C44" s="193"/>
      <c r="D44" s="193"/>
      <c r="E44" s="193"/>
      <c r="F44" s="193"/>
      <c r="G44" s="193"/>
      <c r="H44" s="194"/>
      <c r="J44" s="126" t="s">
        <v>418</v>
      </c>
      <c r="K44" s="124"/>
      <c r="L44" s="124"/>
      <c r="M44" s="124"/>
      <c r="N44" s="124"/>
      <c r="O44" s="124"/>
      <c r="P44" s="124"/>
      <c r="Q44" s="124"/>
      <c r="R44" s="124"/>
      <c r="S44" s="124"/>
      <c r="T44" s="124"/>
    </row>
    <row r="45" spans="2:20" ht="22.5" customHeight="1" thickBot="1">
      <c r="B45" s="131" t="s">
        <v>438</v>
      </c>
      <c r="C45" s="101">
        <f>(0.5/C55)*0.95</f>
        <v>0.13753507938387488</v>
      </c>
      <c r="D45" s="118" t="s">
        <v>366</v>
      </c>
      <c r="E45" s="49"/>
      <c r="F45" s="50" t="s">
        <v>471</v>
      </c>
      <c r="G45" s="70">
        <f>C53*C53*C45*2000</f>
        <v>45.584830143627535</v>
      </c>
      <c r="H45" s="110" t="s">
        <v>365</v>
      </c>
      <c r="J45" s="148" t="s">
        <v>417</v>
      </c>
      <c r="K45" s="124"/>
      <c r="L45" s="124"/>
      <c r="M45" s="124"/>
      <c r="N45" s="124"/>
      <c r="O45" s="124"/>
      <c r="P45" s="124"/>
      <c r="Q45" s="124"/>
      <c r="R45" s="124"/>
      <c r="S45" s="124"/>
      <c r="T45" s="124"/>
    </row>
    <row r="46" spans="2:20" ht="22.5" customHeight="1" thickBot="1">
      <c r="B46" s="150"/>
      <c r="C46" s="151"/>
      <c r="D46" s="151"/>
      <c r="E46" s="151"/>
      <c r="F46" s="151"/>
      <c r="G46" s="151"/>
      <c r="H46" s="152"/>
      <c r="J46" s="149"/>
      <c r="K46" s="124"/>
      <c r="L46" s="124"/>
      <c r="M46" s="124"/>
      <c r="N46" s="124"/>
      <c r="O46" s="124"/>
      <c r="P46" s="124"/>
      <c r="Q46" s="124"/>
      <c r="R46" s="124"/>
      <c r="S46" s="124"/>
      <c r="T46" s="124"/>
    </row>
    <row r="47" spans="2:20" ht="22.5" customHeight="1">
      <c r="B47" s="36"/>
      <c r="C47" s="36"/>
      <c r="D47" s="36"/>
      <c r="E47" s="36"/>
      <c r="F47" s="36"/>
      <c r="G47" s="36"/>
      <c r="H47" s="36"/>
      <c r="J47" s="123"/>
      <c r="K47" s="124"/>
      <c r="L47" s="124"/>
      <c r="M47" s="124"/>
      <c r="N47" s="124"/>
      <c r="O47" s="124"/>
      <c r="P47" s="124"/>
      <c r="Q47" s="124"/>
      <c r="R47" s="124"/>
      <c r="S47" s="124"/>
      <c r="T47" s="124"/>
    </row>
    <row r="48" spans="2:20" ht="22.5" customHeight="1">
      <c r="J48" s="123"/>
      <c r="K48" s="124"/>
      <c r="L48" s="124"/>
      <c r="M48" s="124"/>
      <c r="N48" s="124"/>
      <c r="O48" s="124"/>
      <c r="P48" s="124"/>
      <c r="Q48" s="124"/>
      <c r="R48" s="124"/>
      <c r="S48" s="124"/>
      <c r="T48" s="124"/>
    </row>
    <row r="49" spans="2:20" ht="22.5" customHeight="1" thickBot="1">
      <c r="J49" s="123"/>
      <c r="K49" s="124"/>
      <c r="L49" s="124"/>
      <c r="M49" s="124"/>
      <c r="N49" s="124"/>
      <c r="O49" s="124"/>
      <c r="P49" s="124"/>
      <c r="Q49" s="124"/>
      <c r="R49" s="124"/>
      <c r="S49" s="124"/>
      <c r="T49" s="124"/>
    </row>
    <row r="50" spans="2:20" ht="22.5" customHeight="1" thickBot="1">
      <c r="B50" s="159" t="s">
        <v>369</v>
      </c>
      <c r="C50" s="160"/>
      <c r="D50" s="160"/>
      <c r="E50" s="161"/>
      <c r="F50" s="161"/>
      <c r="G50" s="161"/>
      <c r="H50" s="162"/>
      <c r="J50" s="37"/>
      <c r="K50" s="124"/>
      <c r="L50" s="124"/>
      <c r="M50" s="124"/>
      <c r="N50" s="124"/>
      <c r="O50" s="124"/>
      <c r="P50" s="124"/>
      <c r="Q50" s="124"/>
      <c r="R50" s="124"/>
      <c r="S50" s="124"/>
      <c r="T50" s="124"/>
    </row>
    <row r="51" spans="2:20" ht="22.5" customHeight="1">
      <c r="B51" s="44" t="s">
        <v>436</v>
      </c>
      <c r="C51" s="62">
        <f>C9*SQRT(2)</f>
        <v>127.27922061357856</v>
      </c>
      <c r="D51" s="120" t="s">
        <v>373</v>
      </c>
      <c r="E51" s="51"/>
      <c r="F51" s="44" t="s">
        <v>472</v>
      </c>
      <c r="G51" s="62">
        <f>C10*SQRT(2)</f>
        <v>373.3523804664971</v>
      </c>
      <c r="H51" s="110" t="s">
        <v>373</v>
      </c>
      <c r="J51" s="37"/>
      <c r="K51" s="124"/>
      <c r="L51" s="124"/>
      <c r="M51" s="124"/>
      <c r="N51" s="124"/>
      <c r="O51" s="124"/>
      <c r="P51" s="124"/>
      <c r="Q51" s="124"/>
      <c r="R51" s="124"/>
      <c r="S51" s="124"/>
      <c r="T51" s="124"/>
    </row>
    <row r="52" spans="2:20" ht="22.5" customHeight="1">
      <c r="B52" s="45" t="s">
        <v>437</v>
      </c>
      <c r="C52" s="144">
        <f>(G51+C19*(G9+G11))*1.1/C16</f>
        <v>506.00970369804929</v>
      </c>
      <c r="D52" s="121" t="s">
        <v>373</v>
      </c>
      <c r="E52" s="52"/>
      <c r="F52" s="45" t="s">
        <v>473</v>
      </c>
      <c r="G52" s="144">
        <f>(G51/C19+G9+30)*1.2/C16</f>
        <v>414.5947055225642</v>
      </c>
      <c r="H52" s="111" t="s">
        <v>373</v>
      </c>
      <c r="J52" s="123"/>
      <c r="K52" s="124"/>
      <c r="L52" s="124"/>
      <c r="M52" s="124"/>
      <c r="N52" s="124"/>
      <c r="O52" s="124"/>
      <c r="P52" s="124"/>
      <c r="Q52" s="124"/>
      <c r="R52" s="124"/>
      <c r="S52" s="124"/>
      <c r="T52" s="124"/>
    </row>
    <row r="53" spans="2:20" ht="22.5" customHeight="1">
      <c r="B53" s="39" t="s">
        <v>447</v>
      </c>
      <c r="C53" s="63">
        <f>C15/C9</f>
        <v>0.40708812260536403</v>
      </c>
      <c r="D53" s="121" t="s">
        <v>360</v>
      </c>
      <c r="E53" s="52"/>
      <c r="F53" s="45" t="s">
        <v>474</v>
      </c>
      <c r="G53" s="63">
        <f>C55*C19</f>
        <v>5.0423499452410132</v>
      </c>
      <c r="H53" s="111" t="s">
        <v>360</v>
      </c>
      <c r="J53" s="123"/>
      <c r="K53" s="124"/>
      <c r="L53" s="124"/>
      <c r="M53" s="124"/>
      <c r="N53" s="124"/>
      <c r="O53" s="124"/>
      <c r="P53" s="124"/>
      <c r="Q53" s="124"/>
      <c r="R53" s="124"/>
      <c r="S53" s="124"/>
      <c r="T53" s="124"/>
    </row>
    <row r="54" spans="2:20" ht="22.5" customHeight="1">
      <c r="B54" s="39" t="s">
        <v>448</v>
      </c>
      <c r="C54" s="63">
        <f>SQRT(2)*C53</f>
        <v>0.57570954406950714</v>
      </c>
      <c r="D54" s="121" t="s">
        <v>360</v>
      </c>
      <c r="E54" s="52"/>
      <c r="F54" s="45" t="s">
        <v>475</v>
      </c>
      <c r="G54" s="63">
        <f>((1-G21)*G53)/2</f>
        <v>1.6806390382790262</v>
      </c>
      <c r="H54" s="111" t="s">
        <v>360</v>
      </c>
      <c r="J54" s="123"/>
      <c r="K54" s="124"/>
      <c r="L54" s="124"/>
      <c r="M54" s="124"/>
      <c r="N54" s="124"/>
      <c r="O54" s="124"/>
      <c r="P54" s="124"/>
      <c r="Q54" s="124"/>
      <c r="R54" s="124"/>
      <c r="S54" s="124"/>
      <c r="T54" s="124"/>
    </row>
    <row r="55" spans="2:20" ht="22.5" customHeight="1">
      <c r="B55" s="39" t="s">
        <v>449</v>
      </c>
      <c r="C55" s="63">
        <f>(2*C54*(1/(C12*1000)))/((1/(C12*1000))*G21)</f>
        <v>3.4536643460554886</v>
      </c>
      <c r="D55" s="121" t="s">
        <v>360</v>
      </c>
      <c r="E55" s="52"/>
      <c r="F55" s="45" t="s">
        <v>476</v>
      </c>
      <c r="G55" s="63">
        <f>G21*(1/(C12*1000))*10^6</f>
        <v>11.113018645004084</v>
      </c>
      <c r="H55" s="111" t="s">
        <v>364</v>
      </c>
      <c r="J55" s="123"/>
      <c r="K55" s="124"/>
      <c r="L55" s="124"/>
      <c r="M55" s="124"/>
      <c r="N55" s="124"/>
      <c r="O55" s="124"/>
      <c r="P55" s="124"/>
      <c r="Q55" s="124"/>
      <c r="R55" s="124"/>
      <c r="S55" s="124"/>
      <c r="T55" s="124"/>
    </row>
    <row r="56" spans="2:20" ht="22.5" customHeight="1" thickBot="1">
      <c r="B56" s="53"/>
      <c r="C56" s="64"/>
      <c r="D56" s="122"/>
      <c r="E56" s="54"/>
      <c r="F56" s="47"/>
      <c r="G56" s="65"/>
      <c r="H56" s="114"/>
      <c r="J56" s="123"/>
      <c r="K56" s="124"/>
      <c r="L56" s="124"/>
      <c r="M56" s="124"/>
      <c r="N56" s="124"/>
      <c r="O56" s="124"/>
      <c r="P56" s="124"/>
      <c r="Q56" s="124"/>
      <c r="R56" s="124"/>
      <c r="S56" s="124"/>
      <c r="T56" s="124"/>
    </row>
    <row r="61" spans="2:20" ht="15.6">
      <c r="B61" s="68" t="s">
        <v>378</v>
      </c>
    </row>
    <row r="62" spans="2:20">
      <c r="B62" s="69">
        <v>60</v>
      </c>
    </row>
    <row r="63" spans="2:20">
      <c r="B63" s="69">
        <v>50</v>
      </c>
    </row>
    <row r="65" spans="2:2">
      <c r="B65" s="68" t="s">
        <v>374</v>
      </c>
    </row>
    <row r="66" spans="2:2">
      <c r="B66" s="73">
        <v>1</v>
      </c>
    </row>
    <row r="67" spans="2:2">
      <c r="B67" s="73">
        <v>0.95</v>
      </c>
    </row>
    <row r="68" spans="2:2">
      <c r="B68" s="73">
        <v>0.9</v>
      </c>
    </row>
    <row r="69" spans="2:2">
      <c r="B69" s="73">
        <v>0.85</v>
      </c>
    </row>
    <row r="70" spans="2:2">
      <c r="B70" s="73">
        <v>0.8</v>
      </c>
    </row>
    <row r="71" spans="2:2">
      <c r="B71" s="73">
        <v>0.7</v>
      </c>
    </row>
    <row r="73" spans="2:2">
      <c r="B73" s="99" t="s">
        <v>392</v>
      </c>
    </row>
    <row r="74" spans="2:2">
      <c r="B74" s="99" t="s">
        <v>393</v>
      </c>
    </row>
  </sheetData>
  <mergeCells count="24">
    <mergeCell ref="B1:F1"/>
    <mergeCell ref="G1:H1"/>
    <mergeCell ref="B2:H2"/>
    <mergeCell ref="B3:H6"/>
    <mergeCell ref="B13:D13"/>
    <mergeCell ref="B8:H8"/>
    <mergeCell ref="B43:H43"/>
    <mergeCell ref="F12:F13"/>
    <mergeCell ref="G12:G13"/>
    <mergeCell ref="H12:H13"/>
    <mergeCell ref="B50:H50"/>
    <mergeCell ref="B41:H41"/>
    <mergeCell ref="B46:H46"/>
    <mergeCell ref="B20:D20"/>
    <mergeCell ref="B25:D25"/>
    <mergeCell ref="B44:H44"/>
    <mergeCell ref="B18:H18"/>
    <mergeCell ref="B23:H23"/>
    <mergeCell ref="B32:H32"/>
    <mergeCell ref="J45:J46"/>
    <mergeCell ref="J13:J14"/>
    <mergeCell ref="J26:J27"/>
    <mergeCell ref="J29:J30"/>
    <mergeCell ref="J34:J35"/>
  </mergeCells>
  <phoneticPr fontId="13" type="noConversion"/>
  <conditionalFormatting sqref="B13">
    <cfRule type="cellIs" dxfId="26" priority="49" operator="equal">
      <formula>"Reduce Fsw below 80KHz"</formula>
    </cfRule>
    <cfRule type="cellIs" dxfId="25" priority="50" operator="equal">
      <formula>"Fsw check OK!"</formula>
    </cfRule>
  </conditionalFormatting>
  <conditionalFormatting sqref="B20">
    <cfRule type="cellIs" dxfId="24" priority="47" operator="equal">
      <formula>"Nt check OK!"</formula>
    </cfRule>
    <cfRule type="cellIs" dxfId="23" priority="48" operator="equal">
      <formula>"Please reduce Nt"</formula>
    </cfRule>
  </conditionalFormatting>
  <conditionalFormatting sqref="G36">
    <cfRule type="cellIs" dxfId="22" priority="45" operator="equal">
      <formula>"Decrease R5"</formula>
    </cfRule>
    <cfRule type="cellIs" dxfId="21" priority="46" operator="equal">
      <formula>"Increase R5"</formula>
    </cfRule>
  </conditionalFormatting>
  <conditionalFormatting sqref="B25">
    <cfRule type="cellIs" dxfId="20" priority="40" operator="equal">
      <formula>"Increase Inductance or Fsw"</formula>
    </cfRule>
    <cfRule type="cellIs" dxfId="19" priority="43" operator="equal">
      <formula>"Transformer Primary Wire-Turns check OK!"</formula>
    </cfRule>
    <cfRule type="cellIs" dxfId="18" priority="44" operator="equal">
      <formula>"Reduce Inductance or Fsw"</formula>
    </cfRule>
  </conditionalFormatting>
  <conditionalFormatting sqref="G14">
    <cfRule type="expression" dxfId="17" priority="6">
      <formula>$G$12="No"</formula>
    </cfRule>
    <cfRule type="cellIs" dxfId="16" priority="41" operator="lessThan">
      <formula>12</formula>
    </cfRule>
    <cfRule type="cellIs" dxfId="15" priority="42" operator="greaterThan">
      <formula>25.5</formula>
    </cfRule>
  </conditionalFormatting>
  <conditionalFormatting sqref="C26">
    <cfRule type="cellIs" dxfId="14" priority="37" operator="greaterThan">
      <formula>0.31</formula>
    </cfRule>
  </conditionalFormatting>
  <conditionalFormatting sqref="C27">
    <cfRule type="cellIs" dxfId="13" priority="36" operator="greaterThan">
      <formula>10</formula>
    </cfRule>
  </conditionalFormatting>
  <conditionalFormatting sqref="G35">
    <cfRule type="cellIs" dxfId="12" priority="33" operator="equal">
      <formula>"Decrease R5"</formula>
    </cfRule>
  </conditionalFormatting>
  <conditionalFormatting sqref="C33">
    <cfRule type="cellIs" dxfId="11" priority="18" operator="lessThan">
      <formula>$G$26-2</formula>
    </cfRule>
    <cfRule type="cellIs" dxfId="10" priority="19" operator="greaterThan">
      <formula>$G$26+2</formula>
    </cfRule>
  </conditionalFormatting>
  <conditionalFormatting sqref="C34">
    <cfRule type="cellIs" dxfId="9" priority="16" operator="lessThan">
      <formula>$G$27-2</formula>
    </cfRule>
    <cfRule type="cellIs" dxfId="8" priority="17" operator="greaterThan">
      <formula>$G$27+2</formula>
    </cfRule>
  </conditionalFormatting>
  <conditionalFormatting sqref="G12">
    <cfRule type="cellIs" dxfId="7" priority="7" operator="equal">
      <formula>"No"</formula>
    </cfRule>
  </conditionalFormatting>
  <conditionalFormatting sqref="C37">
    <cfRule type="expression" dxfId="6" priority="62">
      <formula>$G$12="No"</formula>
    </cfRule>
    <cfRule type="cellIs" dxfId="5" priority="63" operator="lessThan">
      <formula>$G$28-2</formula>
    </cfRule>
    <cfRule type="cellIs" dxfId="4" priority="64" operator="greaterThan">
      <formula>$G$28+2</formula>
    </cfRule>
  </conditionalFormatting>
  <conditionalFormatting sqref="C35">
    <cfRule type="expression" dxfId="3" priority="67">
      <formula>$G$12="Yes"</formula>
    </cfRule>
    <cfRule type="expression" dxfId="2" priority="68">
      <formula>$G$12="No"</formula>
    </cfRule>
  </conditionalFormatting>
  <conditionalFormatting sqref="C39">
    <cfRule type="expression" dxfId="1" priority="69">
      <formula>$G$38&lt;$G$9*0.98</formula>
    </cfRule>
    <cfRule type="expression" dxfId="0" priority="70">
      <formula>$G$38&gt;$G$9*1.02</formula>
    </cfRule>
  </conditionalFormatting>
  <dataValidations count="3">
    <dataValidation type="list" allowBlank="1" showInputMessage="1" showErrorMessage="1" sqref="C11">
      <formula1>$B$62:$B$63</formula1>
    </dataValidation>
    <dataValidation type="list" allowBlank="1" showInputMessage="1" showErrorMessage="1" sqref="C16">
      <formula1>$B$66:$B$71</formula1>
    </dataValidation>
    <dataValidation type="list" allowBlank="1" showInputMessage="1" showErrorMessage="1" sqref="G12 C36">
      <formula1>$B$73:$B$74</formula1>
    </dataValidation>
  </dataValidations>
  <hyperlinks>
    <hyperlink ref="B14" location="'TRX Selection'!A1" display="Select Transformer Type"/>
  </hyperlinks>
  <pageMargins left="0.75" right="0.75" top="1" bottom="1" header="0.5" footer="0.5"/>
  <pageSetup orientation="portrait" horizontalDpi="4294967292" verticalDpi="4294967292" r:id="rId1"/>
  <drawing r:id="rId2"/>
  <legacyDrawing r:id="rId3"/>
  <oleObjects>
    <mc:AlternateContent xmlns:mc="http://schemas.openxmlformats.org/markup-compatibility/2006">
      <mc:Choice Requires="x14">
        <oleObject progId="Visio.Drawing.11" shapeId="1031" r:id="rId4">
          <objectPr defaultSize="0" autoPict="0" r:id="rId5">
            <anchor moveWithCells="1">
              <from>
                <xdr:col>2</xdr:col>
                <xdr:colOff>289560</xdr:colOff>
                <xdr:row>60</xdr:row>
                <xdr:rowOff>0</xdr:rowOff>
              </from>
              <to>
                <xdr:col>5</xdr:col>
                <xdr:colOff>4312920</xdr:colOff>
                <xdr:row>77</xdr:row>
                <xdr:rowOff>60960</xdr:rowOff>
              </to>
            </anchor>
          </objectPr>
        </oleObject>
      </mc:Choice>
      <mc:Fallback>
        <oleObject progId="Visio.Drawing.11" shapeId="103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theme="5" tint="-0.499984740745262"/>
  </sheetPr>
  <dimension ref="B1:S192"/>
  <sheetViews>
    <sheetView zoomScale="115" zoomScaleNormal="115" zoomScalePageLayoutView="115" workbookViewId="0"/>
  </sheetViews>
  <sheetFormatPr defaultColWidth="8.8984375" defaultRowHeight="15"/>
  <cols>
    <col min="1" max="1" width="5.09765625" style="1" customWidth="1"/>
    <col min="2" max="3" width="14.8984375" style="1" customWidth="1"/>
    <col min="4" max="4" width="13.59765625" style="1" customWidth="1"/>
    <col min="5" max="5" width="8.5" style="1" customWidth="1"/>
    <col min="6" max="6" width="17.09765625" style="1" bestFit="1" customWidth="1"/>
    <col min="7" max="7" width="8" style="1" bestFit="1" customWidth="1"/>
    <col min="8" max="8" width="9.09765625" style="1" bestFit="1" customWidth="1"/>
    <col min="9" max="9" width="8.09765625" style="1" bestFit="1" customWidth="1"/>
    <col min="10" max="10" width="8.09765625" style="2" bestFit="1" customWidth="1"/>
    <col min="11" max="11" width="8.5" style="1" bestFit="1" customWidth="1"/>
    <col min="12" max="12" width="9.09765625" style="2" bestFit="1" customWidth="1"/>
    <col min="13" max="13" width="7.5" style="1" bestFit="1" customWidth="1"/>
    <col min="14" max="14" width="11.3984375" style="1" bestFit="1" customWidth="1"/>
    <col min="15" max="15" width="8.5" style="1" customWidth="1"/>
    <col min="16" max="16" width="12.8984375" style="1" customWidth="1"/>
    <col min="17" max="17" width="13.3984375" style="1" customWidth="1"/>
    <col min="18" max="18" width="9.3984375" style="1" bestFit="1" customWidth="1"/>
    <col min="19" max="19" width="8.19921875" style="1" customWidth="1"/>
    <col min="20" max="16384" width="8.8984375" style="1"/>
  </cols>
  <sheetData>
    <row r="1" spans="2:19" ht="15.6" thickBot="1"/>
    <row r="2" spans="2:19" ht="29.25" customHeight="1" thickBot="1">
      <c r="B2" s="207" t="s">
        <v>0</v>
      </c>
      <c r="C2" s="208"/>
      <c r="D2" s="209"/>
      <c r="E2" s="209"/>
      <c r="F2" s="209"/>
      <c r="G2" s="209"/>
      <c r="H2" s="209"/>
      <c r="I2" s="209"/>
      <c r="J2" s="209"/>
      <c r="K2" s="209"/>
      <c r="L2" s="209"/>
      <c r="M2" s="209"/>
      <c r="N2" s="209"/>
      <c r="O2" s="209"/>
      <c r="P2" s="210"/>
      <c r="Q2" s="210"/>
      <c r="R2" s="210"/>
      <c r="S2" s="211"/>
    </row>
    <row r="3" spans="2:19" ht="43.5" customHeight="1">
      <c r="B3" s="212" t="s">
        <v>1</v>
      </c>
      <c r="C3" s="213"/>
      <c r="D3" s="214"/>
      <c r="E3" s="218" t="s">
        <v>2</v>
      </c>
      <c r="F3" s="3" t="s">
        <v>3</v>
      </c>
      <c r="G3" s="4" t="s">
        <v>4</v>
      </c>
      <c r="H3" s="4" t="s">
        <v>5</v>
      </c>
      <c r="I3" s="4" t="s">
        <v>6</v>
      </c>
      <c r="J3" s="5" t="s">
        <v>7</v>
      </c>
      <c r="K3" s="4" t="s">
        <v>8</v>
      </c>
      <c r="L3" s="5" t="s">
        <v>9</v>
      </c>
      <c r="M3" s="4" t="s">
        <v>10</v>
      </c>
      <c r="N3" s="4" t="s">
        <v>11</v>
      </c>
      <c r="O3" s="4" t="s">
        <v>12</v>
      </c>
      <c r="P3" s="81" t="s">
        <v>384</v>
      </c>
      <c r="Q3" s="81" t="s">
        <v>385</v>
      </c>
      <c r="R3" s="80" t="s">
        <v>13</v>
      </c>
      <c r="S3" s="80" t="s">
        <v>382</v>
      </c>
    </row>
    <row r="4" spans="2:19" ht="15.6">
      <c r="B4" s="215"/>
      <c r="C4" s="216"/>
      <c r="D4" s="217"/>
      <c r="E4" s="219"/>
      <c r="F4" s="6" t="s">
        <v>15</v>
      </c>
      <c r="G4" s="7" t="s">
        <v>16</v>
      </c>
      <c r="H4" s="7" t="s">
        <v>17</v>
      </c>
      <c r="I4" s="7" t="s">
        <v>18</v>
      </c>
      <c r="J4" s="8" t="s">
        <v>19</v>
      </c>
      <c r="K4" s="7" t="s">
        <v>20</v>
      </c>
      <c r="L4" s="8" t="s">
        <v>21</v>
      </c>
      <c r="M4" s="7" t="s">
        <v>22</v>
      </c>
      <c r="N4" s="7" t="s">
        <v>23</v>
      </c>
      <c r="O4" s="7" t="s">
        <v>24</v>
      </c>
      <c r="P4" s="205" t="s">
        <v>383</v>
      </c>
      <c r="Q4" s="206"/>
      <c r="R4" s="206"/>
      <c r="S4" s="206"/>
    </row>
    <row r="5" spans="2:19" s="10" customFormat="1" ht="54" customHeight="1">
      <c r="B5" s="9" t="s">
        <v>25</v>
      </c>
      <c r="C5" s="87" t="s">
        <v>311</v>
      </c>
      <c r="D5" s="86" t="str">
        <f>VLOOKUP(C5,C17:S192,2,0)</f>
        <v>PQ26/25</v>
      </c>
      <c r="E5" s="83" t="str">
        <f>VLOOKUP(C5,C17:S192,3,0)</f>
        <v>PC44</v>
      </c>
      <c r="F5" s="83" t="str">
        <f>VLOOKUP(C5,C17:S192,4,0)</f>
        <v>26.5*12.37*19</v>
      </c>
      <c r="G5" s="83">
        <f>VLOOKUP(C5,C17:S192,5,0)</f>
        <v>0.9971000000000001</v>
      </c>
      <c r="H5" s="82">
        <f>VLOOKUP(C5,C17:S192,6,0)</f>
        <v>118</v>
      </c>
      <c r="I5" s="83">
        <f>VLOOKUP(C5,C17:S192,7,0)</f>
        <v>84.5</v>
      </c>
      <c r="J5" s="84">
        <f>VLOOKUP(C5,C17:S192,8,0)</f>
        <v>5250</v>
      </c>
      <c r="K5" s="83">
        <f>VLOOKUP(C5,C17:S192,9,0)</f>
        <v>55.5</v>
      </c>
      <c r="L5" s="84">
        <f>VLOOKUP(C5,C17:S192,10,0)</f>
        <v>6530</v>
      </c>
      <c r="M5" s="83">
        <f>VLOOKUP(C5,C17:S192,11,0)</f>
        <v>36</v>
      </c>
      <c r="N5" s="83">
        <f>VLOOKUP(C5,C17:S192,12,0)</f>
        <v>2.3199999999999998</v>
      </c>
      <c r="O5" s="83">
        <f>VLOOKUP(C5,C17:S192,13,0)</f>
        <v>195</v>
      </c>
      <c r="P5" s="83">
        <f>VLOOKUP(C5,C17:S192,14,0)</f>
        <v>13.6</v>
      </c>
      <c r="Q5" s="83">
        <f>VLOOKUP(C5,C17:S192,15,0)</f>
        <v>47.5</v>
      </c>
      <c r="R5" s="83">
        <f>VLOOKUP(C5,C17:S192,16,0)</f>
        <v>12</v>
      </c>
      <c r="S5" s="85" t="str">
        <f>VLOOKUP(C5,C17:S192,17,0)</f>
        <v>V</v>
      </c>
    </row>
    <row r="6" spans="2:19" ht="35.25" customHeight="1">
      <c r="B6" s="203" t="s">
        <v>381</v>
      </c>
      <c r="C6" s="204"/>
      <c r="D6" s="77" t="s">
        <v>26</v>
      </c>
      <c r="E6" s="77" t="s">
        <v>27</v>
      </c>
      <c r="F6" s="77"/>
      <c r="G6" s="77"/>
      <c r="H6" s="77">
        <v>31</v>
      </c>
      <c r="I6" s="77"/>
      <c r="J6" s="78"/>
      <c r="K6" s="77"/>
      <c r="L6" s="78"/>
      <c r="M6" s="77"/>
      <c r="N6" s="77"/>
      <c r="O6" s="77"/>
      <c r="P6" s="77"/>
      <c r="Q6" s="77"/>
      <c r="R6" s="77"/>
      <c r="S6" s="79"/>
    </row>
    <row r="7" spans="2:19" ht="35.25" customHeight="1" thickBot="1">
      <c r="B7" s="220" t="s">
        <v>404</v>
      </c>
      <c r="C7" s="221"/>
      <c r="D7" s="222"/>
      <c r="E7" s="222"/>
      <c r="F7" s="222"/>
      <c r="G7" s="222"/>
      <c r="H7" s="222"/>
      <c r="I7" s="233"/>
      <c r="J7" s="234"/>
      <c r="K7" s="234"/>
      <c r="L7" s="234"/>
      <c r="M7" s="234"/>
      <c r="N7" s="234"/>
      <c r="O7" s="11"/>
      <c r="P7" s="11"/>
      <c r="Q7" s="11"/>
      <c r="R7" s="11"/>
      <c r="S7" s="12"/>
    </row>
    <row r="8" spans="2:19" ht="15" customHeight="1">
      <c r="B8" s="223" t="s">
        <v>372</v>
      </c>
      <c r="C8" s="224"/>
      <c r="D8" s="225"/>
      <c r="E8" s="225"/>
      <c r="F8" s="225"/>
      <c r="G8" s="225"/>
      <c r="H8" s="225"/>
      <c r="I8" s="225"/>
      <c r="J8" s="225"/>
      <c r="K8" s="225"/>
      <c r="L8" s="225"/>
      <c r="M8" s="225"/>
      <c r="N8" s="225"/>
      <c r="O8" s="225"/>
      <c r="P8" s="225"/>
      <c r="Q8" s="225"/>
      <c r="R8" s="225"/>
      <c r="S8" s="226"/>
    </row>
    <row r="9" spans="2:19" ht="15" customHeight="1">
      <c r="B9" s="227"/>
      <c r="C9" s="228"/>
      <c r="D9" s="228"/>
      <c r="E9" s="228"/>
      <c r="F9" s="228"/>
      <c r="G9" s="228"/>
      <c r="H9" s="228"/>
      <c r="I9" s="228"/>
      <c r="J9" s="228"/>
      <c r="K9" s="228"/>
      <c r="L9" s="228"/>
      <c r="M9" s="228"/>
      <c r="N9" s="228"/>
      <c r="O9" s="228"/>
      <c r="P9" s="228"/>
      <c r="Q9" s="228"/>
      <c r="R9" s="228"/>
      <c r="S9" s="229"/>
    </row>
    <row r="10" spans="2:19" ht="15" customHeight="1">
      <c r="B10" s="227"/>
      <c r="C10" s="228"/>
      <c r="D10" s="228"/>
      <c r="E10" s="228"/>
      <c r="F10" s="228"/>
      <c r="G10" s="228"/>
      <c r="H10" s="228"/>
      <c r="I10" s="228"/>
      <c r="J10" s="228"/>
      <c r="K10" s="228"/>
      <c r="L10" s="228"/>
      <c r="M10" s="228"/>
      <c r="N10" s="228"/>
      <c r="O10" s="228"/>
      <c r="P10" s="228"/>
      <c r="Q10" s="228"/>
      <c r="R10" s="228"/>
      <c r="S10" s="229"/>
    </row>
    <row r="11" spans="2:19" ht="15" customHeight="1">
      <c r="B11" s="227"/>
      <c r="C11" s="228"/>
      <c r="D11" s="228"/>
      <c r="E11" s="228"/>
      <c r="F11" s="228"/>
      <c r="G11" s="228"/>
      <c r="H11" s="228"/>
      <c r="I11" s="228"/>
      <c r="J11" s="228"/>
      <c r="K11" s="228"/>
      <c r="L11" s="228"/>
      <c r="M11" s="228"/>
      <c r="N11" s="228"/>
      <c r="O11" s="228"/>
      <c r="P11" s="228"/>
      <c r="Q11" s="228"/>
      <c r="R11" s="228"/>
      <c r="S11" s="229"/>
    </row>
    <row r="12" spans="2:19" ht="15.75" customHeight="1" thickBot="1">
      <c r="B12" s="230"/>
      <c r="C12" s="231"/>
      <c r="D12" s="231"/>
      <c r="E12" s="231"/>
      <c r="F12" s="231"/>
      <c r="G12" s="231"/>
      <c r="H12" s="231"/>
      <c r="I12" s="231"/>
      <c r="J12" s="231"/>
      <c r="K12" s="231"/>
      <c r="L12" s="231"/>
      <c r="M12" s="231"/>
      <c r="N12" s="231"/>
      <c r="O12" s="231"/>
      <c r="P12" s="231"/>
      <c r="Q12" s="231"/>
      <c r="R12" s="231"/>
      <c r="S12" s="232"/>
    </row>
    <row r="14" spans="2:19">
      <c r="B14" s="13" t="s">
        <v>28</v>
      </c>
      <c r="C14" s="13"/>
      <c r="D14" s="13"/>
      <c r="E14" s="13"/>
      <c r="F14" s="13"/>
      <c r="G14" s="13"/>
      <c r="H14" s="13"/>
      <c r="I14" s="13"/>
      <c r="J14" s="14"/>
      <c r="K14" s="13"/>
      <c r="L14" s="14"/>
      <c r="M14" s="13"/>
      <c r="N14" s="13"/>
      <c r="O14" s="13"/>
      <c r="P14" s="13"/>
      <c r="Q14" s="13"/>
      <c r="R14" s="13"/>
      <c r="S14" s="13"/>
    </row>
    <row r="15" spans="2:19" ht="30.75" customHeight="1">
      <c r="B15" s="15" t="s">
        <v>29</v>
      </c>
      <c r="C15" s="15"/>
      <c r="D15" s="15"/>
      <c r="E15" s="16" t="s">
        <v>2</v>
      </c>
      <c r="F15" s="15" t="s">
        <v>3</v>
      </c>
      <c r="G15" s="16" t="s">
        <v>4</v>
      </c>
      <c r="H15" s="16" t="s">
        <v>5</v>
      </c>
      <c r="I15" s="16" t="s">
        <v>6</v>
      </c>
      <c r="J15" s="17" t="s">
        <v>7</v>
      </c>
      <c r="K15" s="16" t="s">
        <v>8</v>
      </c>
      <c r="L15" s="17" t="s">
        <v>9</v>
      </c>
      <c r="M15" s="16" t="s">
        <v>10</v>
      </c>
      <c r="N15" s="16" t="s">
        <v>11</v>
      </c>
      <c r="O15" s="16" t="s">
        <v>12</v>
      </c>
      <c r="P15" s="16" t="s">
        <v>384</v>
      </c>
      <c r="Q15" s="16" t="s">
        <v>385</v>
      </c>
      <c r="R15" s="15" t="s">
        <v>13</v>
      </c>
      <c r="S15" s="15" t="s">
        <v>14</v>
      </c>
    </row>
    <row r="16" spans="2:19" ht="15.6">
      <c r="B16" s="18"/>
      <c r="C16" s="18"/>
      <c r="D16" s="18"/>
      <c r="E16" s="18"/>
      <c r="F16" s="19" t="s">
        <v>15</v>
      </c>
      <c r="G16" s="20" t="s">
        <v>16</v>
      </c>
      <c r="H16" s="20" t="s">
        <v>17</v>
      </c>
      <c r="I16" s="20" t="s">
        <v>18</v>
      </c>
      <c r="J16" s="21" t="s">
        <v>19</v>
      </c>
      <c r="K16" s="20" t="s">
        <v>20</v>
      </c>
      <c r="L16" s="21" t="s">
        <v>21</v>
      </c>
      <c r="M16" s="20" t="s">
        <v>22</v>
      </c>
      <c r="N16" s="20" t="s">
        <v>23</v>
      </c>
      <c r="O16" s="22" t="s">
        <v>24</v>
      </c>
      <c r="P16" s="200" t="s">
        <v>379</v>
      </c>
      <c r="Q16" s="201"/>
      <c r="R16" s="201"/>
      <c r="S16" s="202"/>
    </row>
    <row r="17" spans="2:19">
      <c r="B17" s="23"/>
      <c r="C17" s="23" t="s">
        <v>380</v>
      </c>
      <c r="D17" s="23" t="str">
        <f>D6</f>
        <v>EE13W</v>
      </c>
      <c r="E17" s="23" t="str">
        <f>E6</f>
        <v>PC40</v>
      </c>
      <c r="F17" s="23">
        <f t="shared" ref="F17:S17" si="0">F6</f>
        <v>0</v>
      </c>
      <c r="G17" s="23">
        <f t="shared" si="0"/>
        <v>0</v>
      </c>
      <c r="H17" s="23">
        <f t="shared" si="0"/>
        <v>31</v>
      </c>
      <c r="I17" s="23">
        <f t="shared" si="0"/>
        <v>0</v>
      </c>
      <c r="J17" s="23">
        <f t="shared" si="0"/>
        <v>0</v>
      </c>
      <c r="K17" s="23">
        <f t="shared" si="0"/>
        <v>0</v>
      </c>
      <c r="L17" s="23">
        <f t="shared" si="0"/>
        <v>0</v>
      </c>
      <c r="M17" s="23">
        <f t="shared" si="0"/>
        <v>0</v>
      </c>
      <c r="N17" s="23">
        <f t="shared" si="0"/>
        <v>0</v>
      </c>
      <c r="O17" s="23">
        <f t="shared" si="0"/>
        <v>0</v>
      </c>
      <c r="P17" s="23">
        <f t="shared" si="0"/>
        <v>0</v>
      </c>
      <c r="Q17" s="23">
        <f t="shared" si="0"/>
        <v>0</v>
      </c>
      <c r="R17" s="23">
        <f t="shared" si="0"/>
        <v>0</v>
      </c>
      <c r="S17" s="23">
        <f t="shared" si="0"/>
        <v>0</v>
      </c>
    </row>
    <row r="18" spans="2:19">
      <c r="B18" s="24"/>
      <c r="C18" s="23"/>
      <c r="D18" s="23"/>
      <c r="E18" s="23"/>
      <c r="F18" s="25"/>
      <c r="G18" s="26"/>
      <c r="H18" s="26"/>
      <c r="I18" s="26"/>
      <c r="J18" s="27"/>
      <c r="K18" s="26"/>
      <c r="L18" s="27"/>
      <c r="M18" s="26"/>
      <c r="N18" s="26"/>
      <c r="O18" s="26"/>
      <c r="P18" s="26"/>
      <c r="Q18" s="26"/>
      <c r="R18" s="26"/>
      <c r="S18" s="26"/>
    </row>
    <row r="19" spans="2:19" ht="14.25" customHeight="1">
      <c r="B19" s="23" t="s">
        <v>30</v>
      </c>
      <c r="C19" s="28" t="s">
        <v>31</v>
      </c>
      <c r="D19" s="28" t="s">
        <v>31</v>
      </c>
      <c r="E19" s="28" t="s">
        <v>32</v>
      </c>
      <c r="F19" s="28" t="s">
        <v>33</v>
      </c>
      <c r="G19" s="29">
        <v>1.37409</v>
      </c>
      <c r="H19" s="30">
        <v>84.3</v>
      </c>
      <c r="I19" s="30">
        <v>163</v>
      </c>
      <c r="J19" s="31">
        <v>2100</v>
      </c>
      <c r="K19" s="30">
        <v>77.400000000000006</v>
      </c>
      <c r="L19" s="31">
        <v>6530</v>
      </c>
      <c r="M19" s="30">
        <v>38</v>
      </c>
      <c r="N19" s="32"/>
      <c r="O19" s="32"/>
      <c r="P19" s="32">
        <v>21.5</v>
      </c>
      <c r="Q19" s="32"/>
      <c r="R19" s="32">
        <v>8</v>
      </c>
      <c r="S19" s="28" t="s">
        <v>34</v>
      </c>
    </row>
    <row r="20" spans="2:19" ht="14.25" customHeight="1">
      <c r="B20" s="24"/>
      <c r="C20" s="28" t="s">
        <v>35</v>
      </c>
      <c r="D20" s="28" t="s">
        <v>35</v>
      </c>
      <c r="E20" s="28" t="s">
        <v>32</v>
      </c>
      <c r="F20" s="28" t="s">
        <v>36</v>
      </c>
      <c r="G20" s="29">
        <v>2.5893999999999999</v>
      </c>
      <c r="H20" s="30">
        <v>121</v>
      </c>
      <c r="I20" s="30">
        <v>214</v>
      </c>
      <c r="J20" s="31">
        <v>2700</v>
      </c>
      <c r="K20" s="30">
        <v>89.3</v>
      </c>
      <c r="L20" s="31">
        <v>10800</v>
      </c>
      <c r="M20" s="30">
        <v>60</v>
      </c>
      <c r="N20" s="32"/>
      <c r="O20" s="32"/>
      <c r="P20" s="32">
        <v>24.5</v>
      </c>
      <c r="Q20" s="32"/>
      <c r="R20" s="32">
        <v>8</v>
      </c>
      <c r="S20" s="28" t="s">
        <v>34</v>
      </c>
    </row>
    <row r="21" spans="2:19" ht="14.25" customHeight="1">
      <c r="B21" s="24"/>
      <c r="C21" s="28" t="s">
        <v>37</v>
      </c>
      <c r="D21" s="28" t="s">
        <v>37</v>
      </c>
      <c r="E21" s="28" t="s">
        <v>32</v>
      </c>
      <c r="F21" s="28" t="s">
        <v>38</v>
      </c>
      <c r="G21" s="29">
        <v>5.5979999999999999</v>
      </c>
      <c r="H21" s="30">
        <v>180</v>
      </c>
      <c r="I21" s="30">
        <v>311</v>
      </c>
      <c r="J21" s="31">
        <v>3600</v>
      </c>
      <c r="K21" s="30">
        <v>105</v>
      </c>
      <c r="L21" s="31">
        <v>18800</v>
      </c>
      <c r="M21" s="30">
        <v>112</v>
      </c>
      <c r="N21" s="32"/>
      <c r="O21" s="32"/>
      <c r="P21" s="32">
        <v>28.3</v>
      </c>
      <c r="Q21" s="32"/>
      <c r="R21" s="32">
        <v>12</v>
      </c>
      <c r="S21" s="28" t="s">
        <v>34</v>
      </c>
    </row>
    <row r="22" spans="2:19" ht="14.25" customHeight="1">
      <c r="B22" s="24"/>
      <c r="C22" s="28" t="s">
        <v>39</v>
      </c>
      <c r="D22" s="28" t="s">
        <v>39</v>
      </c>
      <c r="E22" s="28" t="s">
        <v>32</v>
      </c>
      <c r="F22" s="28" t="s">
        <v>40</v>
      </c>
      <c r="G22" s="29">
        <v>17.828099999999999</v>
      </c>
      <c r="H22" s="30">
        <v>279</v>
      </c>
      <c r="I22" s="30">
        <v>639</v>
      </c>
      <c r="J22" s="31">
        <v>3900</v>
      </c>
      <c r="K22" s="30">
        <v>144</v>
      </c>
      <c r="L22" s="31">
        <v>40100</v>
      </c>
      <c r="M22" s="30">
        <v>254</v>
      </c>
      <c r="N22" s="32"/>
      <c r="O22" s="32"/>
      <c r="P22" s="32">
        <v>41.4</v>
      </c>
      <c r="Q22" s="32"/>
      <c r="R22" s="32" t="s">
        <v>41</v>
      </c>
      <c r="S22" s="28" t="s">
        <v>34</v>
      </c>
    </row>
    <row r="23" spans="2:19" ht="14.25" customHeight="1">
      <c r="B23" s="24"/>
      <c r="C23" s="28"/>
      <c r="D23" s="28"/>
      <c r="E23" s="28"/>
      <c r="F23" s="28"/>
      <c r="G23" s="29"/>
      <c r="H23" s="30"/>
      <c r="I23" s="30"/>
      <c r="J23" s="31"/>
      <c r="K23" s="30"/>
      <c r="L23" s="31"/>
      <c r="M23" s="30"/>
      <c r="N23" s="32"/>
      <c r="O23" s="32"/>
      <c r="P23" s="32"/>
      <c r="Q23" s="32"/>
      <c r="R23" s="32"/>
      <c r="S23" s="28"/>
    </row>
    <row r="24" spans="2:19" ht="14.25" customHeight="1">
      <c r="B24" s="24"/>
      <c r="C24" s="28"/>
      <c r="D24" s="28"/>
      <c r="E24" s="28"/>
      <c r="F24" s="28"/>
      <c r="G24" s="29"/>
      <c r="H24" s="30"/>
      <c r="I24" s="30"/>
      <c r="J24" s="31"/>
      <c r="K24" s="30"/>
      <c r="L24" s="31"/>
      <c r="M24" s="30"/>
      <c r="N24" s="32"/>
      <c r="O24" s="32"/>
      <c r="P24" s="32"/>
      <c r="Q24" s="32"/>
      <c r="R24" s="32"/>
      <c r="S24" s="28"/>
    </row>
    <row r="25" spans="2:19">
      <c r="B25" s="24"/>
      <c r="C25" s="23"/>
      <c r="D25" s="23"/>
      <c r="E25" s="28"/>
      <c r="F25" s="28"/>
      <c r="G25" s="29"/>
      <c r="H25" s="30"/>
      <c r="I25" s="30"/>
      <c r="J25" s="31"/>
      <c r="K25" s="30"/>
      <c r="L25" s="31"/>
      <c r="M25" s="30"/>
      <c r="N25" s="32"/>
      <c r="O25" s="32"/>
      <c r="P25" s="32"/>
      <c r="Q25" s="32"/>
      <c r="R25" s="32"/>
      <c r="S25" s="28"/>
    </row>
    <row r="26" spans="2:19" ht="14.25" customHeight="1">
      <c r="B26" s="23" t="s">
        <v>42</v>
      </c>
      <c r="C26" s="28" t="s">
        <v>43</v>
      </c>
      <c r="D26" s="28" t="s">
        <v>43</v>
      </c>
      <c r="E26" s="28" t="s">
        <v>44</v>
      </c>
      <c r="F26" s="28" t="s">
        <v>45</v>
      </c>
      <c r="G26" s="29">
        <v>1.315E-3</v>
      </c>
      <c r="H26" s="30">
        <v>2.63</v>
      </c>
      <c r="I26" s="30">
        <v>5</v>
      </c>
      <c r="J26" s="31">
        <v>285</v>
      </c>
      <c r="K26" s="30">
        <v>12.6</v>
      </c>
      <c r="L26" s="31">
        <v>33.1</v>
      </c>
      <c r="M26" s="30">
        <v>0.16</v>
      </c>
      <c r="N26" s="32">
        <v>0.02</v>
      </c>
      <c r="O26" s="32">
        <v>1.1000000000000001</v>
      </c>
      <c r="P26" s="32">
        <v>2.7</v>
      </c>
      <c r="Q26" s="32"/>
      <c r="R26" s="33" t="s">
        <v>46</v>
      </c>
      <c r="S26" s="28" t="s">
        <v>34</v>
      </c>
    </row>
    <row r="27" spans="2:19" ht="14.25" customHeight="1">
      <c r="B27" s="24"/>
      <c r="C27" s="28" t="s">
        <v>47</v>
      </c>
      <c r="D27" s="28" t="s">
        <v>47</v>
      </c>
      <c r="E27" s="28" t="s">
        <v>44</v>
      </c>
      <c r="F27" s="28" t="s">
        <v>48</v>
      </c>
      <c r="G27" s="29">
        <v>1.4762600000000001E-3</v>
      </c>
      <c r="H27" s="30">
        <v>3.31</v>
      </c>
      <c r="I27" s="30">
        <v>4.46</v>
      </c>
      <c r="J27" s="31">
        <v>405</v>
      </c>
      <c r="K27" s="30">
        <v>12.2</v>
      </c>
      <c r="L27" s="31">
        <v>40.4</v>
      </c>
      <c r="M27" s="30">
        <v>0.24</v>
      </c>
      <c r="N27" s="32">
        <v>0.02</v>
      </c>
      <c r="O27" s="32"/>
      <c r="P27" s="32">
        <v>2.7</v>
      </c>
      <c r="Q27" s="32"/>
      <c r="R27" s="32">
        <v>6</v>
      </c>
      <c r="S27" s="28" t="s">
        <v>34</v>
      </c>
    </row>
    <row r="28" spans="2:19" ht="14.25" customHeight="1">
      <c r="B28" s="24"/>
      <c r="C28" s="28" t="s">
        <v>49</v>
      </c>
      <c r="D28" s="28" t="s">
        <v>49</v>
      </c>
      <c r="E28" s="28" t="s">
        <v>44</v>
      </c>
      <c r="F28" s="28" t="s">
        <v>50</v>
      </c>
      <c r="G28" s="29">
        <v>9.1350000000000008E-3</v>
      </c>
      <c r="H28" s="30">
        <v>7</v>
      </c>
      <c r="I28" s="30">
        <v>13.05</v>
      </c>
      <c r="J28" s="31">
        <v>590</v>
      </c>
      <c r="K28" s="30">
        <v>19.47</v>
      </c>
      <c r="L28" s="31">
        <v>139</v>
      </c>
      <c r="M28" s="30">
        <v>0.7</v>
      </c>
      <c r="N28" s="32">
        <v>0.06</v>
      </c>
      <c r="O28" s="32">
        <v>1.9</v>
      </c>
      <c r="P28" s="32">
        <v>4.78</v>
      </c>
      <c r="Q28" s="32">
        <v>5.3</v>
      </c>
      <c r="R28" s="32">
        <v>6</v>
      </c>
      <c r="S28" s="28" t="s">
        <v>34</v>
      </c>
    </row>
    <row r="29" spans="2:19" ht="14.25" customHeight="1">
      <c r="B29" s="24"/>
      <c r="C29" s="28" t="s">
        <v>51</v>
      </c>
      <c r="D29" s="28" t="s">
        <v>51</v>
      </c>
      <c r="E29" s="28" t="s">
        <v>44</v>
      </c>
      <c r="F29" s="28" t="s">
        <v>52</v>
      </c>
      <c r="G29" s="29">
        <v>2.8677000000000001E-2</v>
      </c>
      <c r="H29" s="30">
        <v>12.1</v>
      </c>
      <c r="I29" s="30">
        <v>23.7</v>
      </c>
      <c r="J29" s="31">
        <v>850</v>
      </c>
      <c r="K29" s="30">
        <v>26.6</v>
      </c>
      <c r="L29" s="31">
        <v>302</v>
      </c>
      <c r="M29" s="30">
        <v>1.5</v>
      </c>
      <c r="N29" s="32">
        <v>0.16</v>
      </c>
      <c r="O29" s="32"/>
      <c r="P29" s="32">
        <v>6.6</v>
      </c>
      <c r="Q29" s="32">
        <v>12.2</v>
      </c>
      <c r="R29" s="32">
        <v>8</v>
      </c>
      <c r="S29" s="28" t="s">
        <v>53</v>
      </c>
    </row>
    <row r="30" spans="2:19" ht="14.25" customHeight="1">
      <c r="B30" s="24"/>
      <c r="C30" s="28" t="s">
        <v>54</v>
      </c>
      <c r="D30" s="28" t="s">
        <v>54</v>
      </c>
      <c r="E30" s="28" t="s">
        <v>44</v>
      </c>
      <c r="F30" s="28" t="s">
        <v>55</v>
      </c>
      <c r="G30" s="29">
        <v>5.702850000000001E-2</v>
      </c>
      <c r="H30" s="30">
        <v>17.100000000000001</v>
      </c>
      <c r="I30" s="30">
        <v>33.35</v>
      </c>
      <c r="J30" s="31">
        <v>1130</v>
      </c>
      <c r="K30" s="30">
        <v>30.2</v>
      </c>
      <c r="L30" s="31">
        <v>517</v>
      </c>
      <c r="M30" s="30">
        <v>2.7</v>
      </c>
      <c r="N30" s="32">
        <v>0.23499999999999999</v>
      </c>
      <c r="O30" s="32"/>
      <c r="P30" s="32">
        <v>7.4</v>
      </c>
      <c r="Q30" s="32">
        <v>22.2</v>
      </c>
      <c r="R30" s="32">
        <v>10</v>
      </c>
      <c r="S30" s="28" t="s">
        <v>53</v>
      </c>
    </row>
    <row r="31" spans="2:19" ht="14.25" customHeight="1">
      <c r="B31" s="24"/>
      <c r="C31" s="28" t="s">
        <v>56</v>
      </c>
      <c r="D31" s="28" t="s">
        <v>56</v>
      </c>
      <c r="E31" s="28" t="s">
        <v>44</v>
      </c>
      <c r="F31" s="28" t="s">
        <v>57</v>
      </c>
      <c r="G31" s="29">
        <v>7.6512000000000011E-2</v>
      </c>
      <c r="H31" s="30">
        <v>19.2</v>
      </c>
      <c r="I31" s="30">
        <v>39.85</v>
      </c>
      <c r="J31" s="31">
        <v>1140</v>
      </c>
      <c r="K31" s="30">
        <v>35</v>
      </c>
      <c r="L31" s="31">
        <v>672</v>
      </c>
      <c r="M31" s="30">
        <v>3.3</v>
      </c>
      <c r="N31" s="32">
        <v>0.31</v>
      </c>
      <c r="O31" s="32"/>
      <c r="P31" s="32">
        <v>8.5</v>
      </c>
      <c r="Q31" s="32">
        <v>27.3</v>
      </c>
      <c r="R31" s="33" t="s">
        <v>58</v>
      </c>
      <c r="S31" s="28" t="s">
        <v>59</v>
      </c>
    </row>
    <row r="32" spans="2:19" ht="14.25" customHeight="1">
      <c r="B32" s="24"/>
      <c r="C32" s="28" t="s">
        <v>60</v>
      </c>
      <c r="D32" s="28" t="s">
        <v>60</v>
      </c>
      <c r="E32" s="28" t="s">
        <v>44</v>
      </c>
      <c r="F32" s="28" t="s">
        <v>61</v>
      </c>
      <c r="G32" s="29">
        <v>0.12429200000000001</v>
      </c>
      <c r="H32" s="30">
        <v>23</v>
      </c>
      <c r="I32" s="30">
        <v>54.04</v>
      </c>
      <c r="J32" s="31">
        <v>1250</v>
      </c>
      <c r="K32" s="30">
        <v>39.4</v>
      </c>
      <c r="L32" s="31">
        <v>900</v>
      </c>
      <c r="M32" s="30">
        <v>4.8</v>
      </c>
      <c r="N32" s="32">
        <v>0.42</v>
      </c>
      <c r="O32" s="32"/>
      <c r="P32" s="32">
        <v>9</v>
      </c>
      <c r="Q32" s="32">
        <v>33.1</v>
      </c>
      <c r="R32" s="33" t="s">
        <v>46</v>
      </c>
      <c r="S32" s="28" t="s">
        <v>59</v>
      </c>
    </row>
    <row r="33" spans="2:19" ht="14.25" customHeight="1">
      <c r="B33" s="24"/>
      <c r="C33" s="28" t="s">
        <v>62</v>
      </c>
      <c r="D33" s="28" t="s">
        <v>62</v>
      </c>
      <c r="E33" s="28" t="s">
        <v>44</v>
      </c>
      <c r="F33" s="28" t="s">
        <v>63</v>
      </c>
      <c r="G33" s="29">
        <v>0.119056</v>
      </c>
      <c r="H33" s="30">
        <v>22.4</v>
      </c>
      <c r="I33" s="30">
        <v>53.15</v>
      </c>
      <c r="J33" s="31">
        <v>1350</v>
      </c>
      <c r="K33" s="30">
        <v>39.1</v>
      </c>
      <c r="L33" s="31">
        <v>882</v>
      </c>
      <c r="M33" s="30">
        <v>4.8</v>
      </c>
      <c r="N33" s="32">
        <v>0.41</v>
      </c>
      <c r="O33" s="32"/>
      <c r="P33" s="32">
        <v>9</v>
      </c>
      <c r="Q33" s="32">
        <v>33.1</v>
      </c>
      <c r="R33" s="33" t="s">
        <v>46</v>
      </c>
      <c r="S33" s="28" t="s">
        <v>59</v>
      </c>
    </row>
    <row r="34" spans="2:19" ht="14.25" customHeight="1">
      <c r="B34" s="24"/>
      <c r="C34" s="28" t="s">
        <v>64</v>
      </c>
      <c r="D34" s="28" t="s">
        <v>64</v>
      </c>
      <c r="E34" s="28" t="s">
        <v>44</v>
      </c>
      <c r="F34" s="28" t="s">
        <v>65</v>
      </c>
      <c r="G34" s="29">
        <v>0.119056</v>
      </c>
      <c r="H34" s="30">
        <v>31</v>
      </c>
      <c r="I34" s="30">
        <v>50.7</v>
      </c>
      <c r="J34" s="31">
        <v>1460</v>
      </c>
      <c r="K34" s="30">
        <v>43</v>
      </c>
      <c r="L34" s="31">
        <v>1340</v>
      </c>
      <c r="M34" s="30">
        <v>7.5</v>
      </c>
      <c r="N34" s="32">
        <v>0.51</v>
      </c>
      <c r="O34" s="32"/>
      <c r="P34" s="32"/>
      <c r="Q34" s="32"/>
      <c r="R34" s="32"/>
      <c r="S34" s="28"/>
    </row>
    <row r="35" spans="2:19" ht="14.25" customHeight="1">
      <c r="B35" s="24"/>
      <c r="C35" s="28" t="s">
        <v>66</v>
      </c>
      <c r="D35" s="28" t="s">
        <v>66</v>
      </c>
      <c r="E35" s="28" t="s">
        <v>44</v>
      </c>
      <c r="F35" s="28" t="s">
        <v>67</v>
      </c>
      <c r="G35" s="29">
        <v>0.119056</v>
      </c>
      <c r="H35" s="30">
        <v>41</v>
      </c>
      <c r="I35" s="30">
        <v>38.79</v>
      </c>
      <c r="J35" s="31">
        <v>2180</v>
      </c>
      <c r="K35" s="30">
        <v>39.4</v>
      </c>
      <c r="L35" s="31">
        <v>1610</v>
      </c>
      <c r="M35" s="30">
        <v>8.8000000000000007</v>
      </c>
      <c r="N35" s="32">
        <v>0.61</v>
      </c>
      <c r="O35" s="32"/>
      <c r="P35" s="32">
        <v>8.4499999999999993</v>
      </c>
      <c r="Q35" s="32">
        <v>20</v>
      </c>
      <c r="R35" s="32">
        <v>8</v>
      </c>
      <c r="S35" s="28" t="s">
        <v>53</v>
      </c>
    </row>
    <row r="36" spans="2:19" ht="14.25" customHeight="1">
      <c r="B36" s="24"/>
      <c r="C36" s="28" t="s">
        <v>68</v>
      </c>
      <c r="D36" s="28" t="s">
        <v>68</v>
      </c>
      <c r="E36" s="28" t="s">
        <v>44</v>
      </c>
      <c r="F36" s="28" t="s">
        <v>69</v>
      </c>
      <c r="G36" s="29">
        <v>0.119056</v>
      </c>
      <c r="H36" s="30">
        <v>35.799999999999997</v>
      </c>
      <c r="I36" s="30">
        <v>122</v>
      </c>
      <c r="J36" s="31">
        <v>1250</v>
      </c>
      <c r="K36" s="30">
        <v>64.900000000000006</v>
      </c>
      <c r="L36" s="31">
        <v>2320</v>
      </c>
      <c r="M36" s="30">
        <v>12</v>
      </c>
      <c r="N36" s="32">
        <v>1.1599999999999999</v>
      </c>
      <c r="O36" s="32"/>
      <c r="P36" s="32"/>
      <c r="Q36" s="32"/>
      <c r="R36" s="32"/>
      <c r="S36" s="28"/>
    </row>
    <row r="37" spans="2:19" ht="14.25" customHeight="1">
      <c r="B37" s="24"/>
      <c r="C37" s="28" t="s">
        <v>70</v>
      </c>
      <c r="D37" s="28" t="s">
        <v>70</v>
      </c>
      <c r="E37" s="28" t="s">
        <v>44</v>
      </c>
      <c r="F37" s="28" t="s">
        <v>71</v>
      </c>
      <c r="G37" s="29">
        <v>0.119056</v>
      </c>
      <c r="H37" s="30">
        <v>40</v>
      </c>
      <c r="I37" s="30">
        <v>78.2</v>
      </c>
      <c r="J37" s="31">
        <v>2000</v>
      </c>
      <c r="K37" s="30">
        <v>48.7</v>
      </c>
      <c r="L37" s="31">
        <v>1940</v>
      </c>
      <c r="M37" s="30">
        <v>9.1</v>
      </c>
      <c r="N37" s="32">
        <v>0.9</v>
      </c>
      <c r="O37" s="32"/>
      <c r="P37" s="32">
        <v>9.8000000000000007</v>
      </c>
      <c r="Q37" s="32">
        <v>42.5</v>
      </c>
      <c r="R37" s="32"/>
      <c r="S37" s="28"/>
    </row>
    <row r="38" spans="2:19" ht="14.25" customHeight="1">
      <c r="B38" s="24"/>
      <c r="C38" s="28" t="s">
        <v>72</v>
      </c>
      <c r="D38" s="28" t="s">
        <v>72</v>
      </c>
      <c r="E38" s="28" t="s">
        <v>44</v>
      </c>
      <c r="F38" s="28" t="s">
        <v>73</v>
      </c>
      <c r="G38" s="29">
        <v>0.119056</v>
      </c>
      <c r="H38" s="30">
        <v>40.299999999999997</v>
      </c>
      <c r="I38" s="30">
        <v>78.73</v>
      </c>
      <c r="J38" s="31">
        <v>2000</v>
      </c>
      <c r="K38" s="30">
        <v>48.7</v>
      </c>
      <c r="L38" s="31">
        <v>1963</v>
      </c>
      <c r="M38" s="30">
        <v>10</v>
      </c>
      <c r="N38" s="32">
        <v>0.9</v>
      </c>
      <c r="O38" s="32"/>
      <c r="P38" s="32"/>
      <c r="Q38" s="32"/>
      <c r="R38" s="32"/>
      <c r="S38" s="28"/>
    </row>
    <row r="39" spans="2:19" ht="14.25" customHeight="1">
      <c r="B39" s="24"/>
      <c r="C39" s="28" t="s">
        <v>74</v>
      </c>
      <c r="D39" s="28" t="s">
        <v>74</v>
      </c>
      <c r="E39" s="28" t="s">
        <v>44</v>
      </c>
      <c r="F39" s="28" t="s">
        <v>75</v>
      </c>
      <c r="G39" s="29">
        <v>0.119056</v>
      </c>
      <c r="H39" s="30">
        <v>86.9</v>
      </c>
      <c r="I39" s="30">
        <v>98.1</v>
      </c>
      <c r="J39" s="31">
        <v>3300</v>
      </c>
      <c r="K39" s="30">
        <v>57.7</v>
      </c>
      <c r="L39" s="31">
        <v>5010</v>
      </c>
      <c r="M39" s="30">
        <v>26</v>
      </c>
      <c r="N39" s="32">
        <v>2.5099999999999998</v>
      </c>
      <c r="O39" s="32"/>
      <c r="P39" s="32">
        <v>9.6</v>
      </c>
      <c r="Q39" s="32">
        <v>39.4</v>
      </c>
      <c r="R39" s="32">
        <v>10</v>
      </c>
      <c r="S39" s="28" t="s">
        <v>53</v>
      </c>
    </row>
    <row r="40" spans="2:19" ht="14.25" customHeight="1">
      <c r="B40" s="24"/>
      <c r="C40" s="28" t="s">
        <v>76</v>
      </c>
      <c r="D40" s="28" t="s">
        <v>76</v>
      </c>
      <c r="E40" s="28" t="s">
        <v>44</v>
      </c>
      <c r="F40" s="28" t="s">
        <v>77</v>
      </c>
      <c r="G40" s="29">
        <v>0.119056</v>
      </c>
      <c r="H40" s="30">
        <v>109</v>
      </c>
      <c r="I40" s="30">
        <v>73.349999999999994</v>
      </c>
      <c r="J40" s="31">
        <v>4690</v>
      </c>
      <c r="K40" s="30">
        <v>57.7</v>
      </c>
      <c r="L40" s="31">
        <v>6310</v>
      </c>
      <c r="M40" s="30">
        <v>32</v>
      </c>
      <c r="N40" s="32">
        <v>2.9</v>
      </c>
      <c r="O40" s="32"/>
      <c r="P40" s="32">
        <v>13.7</v>
      </c>
      <c r="Q40" s="32">
        <v>43.2</v>
      </c>
      <c r="R40" s="33" t="s">
        <v>78</v>
      </c>
      <c r="S40" s="28" t="s">
        <v>53</v>
      </c>
    </row>
    <row r="41" spans="2:19" ht="14.25" customHeight="1">
      <c r="B41" s="24"/>
      <c r="C41" s="28" t="s">
        <v>79</v>
      </c>
      <c r="D41" s="28" t="s">
        <v>79</v>
      </c>
      <c r="E41" s="28" t="s">
        <v>44</v>
      </c>
      <c r="F41" s="28" t="s">
        <v>80</v>
      </c>
      <c r="G41" s="29">
        <v>0.119056</v>
      </c>
      <c r="H41" s="30">
        <v>59.7</v>
      </c>
      <c r="I41" s="30">
        <v>124.87</v>
      </c>
      <c r="J41" s="31">
        <v>2100</v>
      </c>
      <c r="K41" s="30">
        <v>66.900000000000006</v>
      </c>
      <c r="L41" s="31">
        <v>4000</v>
      </c>
      <c r="M41" s="30">
        <v>22</v>
      </c>
      <c r="N41" s="32">
        <v>1.51</v>
      </c>
      <c r="O41" s="32"/>
      <c r="P41" s="32"/>
      <c r="Q41" s="32"/>
      <c r="R41" s="32"/>
      <c r="S41" s="28"/>
    </row>
    <row r="42" spans="2:19" ht="14.25" customHeight="1">
      <c r="B42" s="24"/>
      <c r="C42" s="28" t="s">
        <v>81</v>
      </c>
      <c r="D42" s="28" t="s">
        <v>81</v>
      </c>
      <c r="E42" s="28" t="s">
        <v>44</v>
      </c>
      <c r="F42" s="28" t="s">
        <v>82</v>
      </c>
      <c r="G42" s="29">
        <v>0.119056</v>
      </c>
      <c r="H42" s="30">
        <v>84.8</v>
      </c>
      <c r="I42" s="30">
        <v>158</v>
      </c>
      <c r="J42" s="31">
        <v>2600</v>
      </c>
      <c r="K42" s="30">
        <v>69.7</v>
      </c>
      <c r="L42" s="31">
        <v>5910</v>
      </c>
      <c r="M42" s="30">
        <v>29</v>
      </c>
      <c r="N42" s="32">
        <v>2.96</v>
      </c>
      <c r="O42" s="32"/>
      <c r="P42" s="32">
        <v>15.7</v>
      </c>
      <c r="Q42" s="32">
        <v>88.7</v>
      </c>
      <c r="R42" s="33">
        <v>12</v>
      </c>
      <c r="S42" s="28" t="s">
        <v>53</v>
      </c>
    </row>
    <row r="43" spans="2:19" ht="14.25" customHeight="1">
      <c r="B43" s="24"/>
      <c r="C43" s="28" t="s">
        <v>83</v>
      </c>
      <c r="D43" s="28" t="s">
        <v>83</v>
      </c>
      <c r="E43" s="28" t="s">
        <v>44</v>
      </c>
      <c r="F43" s="28" t="s">
        <v>84</v>
      </c>
      <c r="G43" s="29">
        <v>0.119056</v>
      </c>
      <c r="H43" s="30">
        <v>127</v>
      </c>
      <c r="I43" s="30">
        <v>173.23</v>
      </c>
      <c r="J43" s="31">
        <v>4150</v>
      </c>
      <c r="K43" s="30">
        <v>77</v>
      </c>
      <c r="L43" s="31">
        <v>9810</v>
      </c>
      <c r="M43" s="30">
        <v>50</v>
      </c>
      <c r="N43" s="32">
        <v>4.2</v>
      </c>
      <c r="O43" s="32"/>
      <c r="P43" s="32">
        <v>17.3</v>
      </c>
      <c r="Q43" s="32">
        <v>108</v>
      </c>
      <c r="R43" s="32">
        <v>12</v>
      </c>
      <c r="S43" s="28" t="s">
        <v>53</v>
      </c>
    </row>
    <row r="44" spans="2:19" ht="14.25" customHeight="1">
      <c r="B44" s="24"/>
      <c r="C44" s="28" t="s">
        <v>85</v>
      </c>
      <c r="D44" s="28" t="s">
        <v>85</v>
      </c>
      <c r="E44" s="28" t="s">
        <v>44</v>
      </c>
      <c r="F44" s="28" t="s">
        <v>86</v>
      </c>
      <c r="G44" s="29">
        <v>0.119056</v>
      </c>
      <c r="H44" s="30">
        <v>157</v>
      </c>
      <c r="I44" s="30">
        <v>180</v>
      </c>
      <c r="J44" s="31">
        <v>4200</v>
      </c>
      <c r="K44" s="30">
        <v>79</v>
      </c>
      <c r="L44" s="31">
        <v>12470</v>
      </c>
      <c r="M44" s="30">
        <v>64</v>
      </c>
      <c r="N44" s="32">
        <v>6.25</v>
      </c>
      <c r="O44" s="32"/>
      <c r="P44" s="32"/>
      <c r="Q44" s="32"/>
      <c r="R44" s="33"/>
      <c r="S44" s="28"/>
    </row>
    <row r="45" spans="2:19" ht="14.25" customHeight="1">
      <c r="B45" s="24"/>
      <c r="C45" s="28" t="s">
        <v>87</v>
      </c>
      <c r="D45" s="28" t="s">
        <v>87</v>
      </c>
      <c r="E45" s="28" t="s">
        <v>44</v>
      </c>
      <c r="F45" s="28" t="s">
        <v>88</v>
      </c>
      <c r="G45" s="29">
        <v>0.119056</v>
      </c>
      <c r="H45" s="30">
        <v>178</v>
      </c>
      <c r="I45" s="30">
        <v>278</v>
      </c>
      <c r="J45" s="31">
        <v>3800</v>
      </c>
      <c r="K45" s="30">
        <v>97.9</v>
      </c>
      <c r="L45" s="31">
        <v>19510</v>
      </c>
      <c r="M45" s="30">
        <v>88</v>
      </c>
      <c r="N45" s="32">
        <v>8.8000000000000007</v>
      </c>
      <c r="O45" s="32"/>
      <c r="P45" s="32"/>
      <c r="Q45" s="32"/>
      <c r="R45" s="32"/>
      <c r="S45" s="28"/>
    </row>
    <row r="46" spans="2:19" ht="14.25" customHeight="1">
      <c r="B46" s="24"/>
      <c r="C46" s="28" t="s">
        <v>89</v>
      </c>
      <c r="D46" s="28" t="s">
        <v>89</v>
      </c>
      <c r="E46" s="28" t="s">
        <v>44</v>
      </c>
      <c r="F46" s="28" t="s">
        <v>90</v>
      </c>
      <c r="G46" s="29">
        <v>0.119056</v>
      </c>
      <c r="H46" s="30">
        <v>235</v>
      </c>
      <c r="I46" s="30">
        <v>275</v>
      </c>
      <c r="J46" s="31">
        <v>5000</v>
      </c>
      <c r="K46" s="30">
        <v>97.8</v>
      </c>
      <c r="L46" s="31">
        <v>23000</v>
      </c>
      <c r="M46" s="30">
        <v>116</v>
      </c>
      <c r="N46" s="32">
        <v>11.6</v>
      </c>
      <c r="O46" s="32"/>
      <c r="P46" s="32"/>
      <c r="Q46" s="32"/>
      <c r="R46" s="33"/>
      <c r="S46" s="28"/>
    </row>
    <row r="47" spans="2:19" ht="14.25" customHeight="1">
      <c r="B47" s="24"/>
      <c r="C47" s="28" t="s">
        <v>91</v>
      </c>
      <c r="D47" s="28" t="s">
        <v>91</v>
      </c>
      <c r="E47" s="28" t="s">
        <v>44</v>
      </c>
      <c r="F47" s="28" t="s">
        <v>92</v>
      </c>
      <c r="G47" s="29">
        <v>0.119056</v>
      </c>
      <c r="H47" s="30">
        <v>242</v>
      </c>
      <c r="I47" s="30">
        <v>196.4</v>
      </c>
      <c r="J47" s="31">
        <v>6660</v>
      </c>
      <c r="K47" s="30">
        <v>90.6</v>
      </c>
      <c r="L47" s="31">
        <v>21930</v>
      </c>
      <c r="M47" s="30">
        <v>108</v>
      </c>
      <c r="N47" s="32">
        <v>9.6999999999999993</v>
      </c>
      <c r="O47" s="32"/>
      <c r="P47" s="32"/>
      <c r="Q47" s="32"/>
      <c r="R47" s="32"/>
      <c r="S47" s="28"/>
    </row>
    <row r="48" spans="2:19" ht="14.25" customHeight="1">
      <c r="B48" s="24"/>
      <c r="C48" s="28" t="s">
        <v>93</v>
      </c>
      <c r="D48" s="28" t="s">
        <v>93</v>
      </c>
      <c r="E48" s="28" t="s">
        <v>44</v>
      </c>
      <c r="F48" s="28" t="s">
        <v>94</v>
      </c>
      <c r="G48" s="29">
        <v>0.119056</v>
      </c>
      <c r="H48" s="30">
        <v>226</v>
      </c>
      <c r="I48" s="30">
        <v>253.73</v>
      </c>
      <c r="J48" s="31">
        <v>6110</v>
      </c>
      <c r="K48" s="30">
        <v>95.8</v>
      </c>
      <c r="L48" s="31">
        <v>21600</v>
      </c>
      <c r="M48" s="30">
        <v>116</v>
      </c>
      <c r="N48" s="32">
        <v>9.4</v>
      </c>
      <c r="O48" s="32"/>
      <c r="P48" s="32">
        <v>21.3</v>
      </c>
      <c r="Q48" s="32">
        <v>170</v>
      </c>
      <c r="R48" s="33">
        <v>12</v>
      </c>
      <c r="S48" s="28" t="s">
        <v>53</v>
      </c>
    </row>
    <row r="49" spans="2:19" ht="14.25" customHeight="1">
      <c r="B49" s="24"/>
      <c r="C49" s="28" t="s">
        <v>95</v>
      </c>
      <c r="D49" s="28" t="s">
        <v>95</v>
      </c>
      <c r="E49" s="28" t="s">
        <v>44</v>
      </c>
      <c r="F49" s="28" t="s">
        <v>96</v>
      </c>
      <c r="G49" s="29">
        <v>0.119056</v>
      </c>
      <c r="H49" s="30">
        <v>354</v>
      </c>
      <c r="I49" s="30">
        <v>386.34</v>
      </c>
      <c r="J49" s="31">
        <v>7100</v>
      </c>
      <c r="K49" s="30">
        <v>123</v>
      </c>
      <c r="L49" s="31">
        <v>43700</v>
      </c>
      <c r="M49" s="30">
        <v>234</v>
      </c>
      <c r="N49" s="32" t="s">
        <v>97</v>
      </c>
      <c r="O49" s="32"/>
      <c r="P49" s="32"/>
      <c r="Q49" s="32"/>
      <c r="R49" s="32"/>
      <c r="S49" s="28"/>
    </row>
    <row r="50" spans="2:19" ht="14.25" customHeight="1">
      <c r="B50" s="24"/>
      <c r="C50" s="28" t="s">
        <v>98</v>
      </c>
      <c r="D50" s="28" t="s">
        <v>98</v>
      </c>
      <c r="E50" s="28" t="s">
        <v>44</v>
      </c>
      <c r="F50" s="28" t="s">
        <v>99</v>
      </c>
      <c r="G50" s="29">
        <v>0.119056</v>
      </c>
      <c r="H50" s="30">
        <v>344</v>
      </c>
      <c r="I50" s="30">
        <v>282.36</v>
      </c>
      <c r="J50" s="31">
        <v>8530</v>
      </c>
      <c r="K50" s="30">
        <v>102</v>
      </c>
      <c r="L50" s="31">
        <v>35100</v>
      </c>
      <c r="M50" s="30">
        <v>190</v>
      </c>
      <c r="N50" s="32">
        <v>8.5</v>
      </c>
      <c r="O50" s="32"/>
      <c r="P50" s="32"/>
      <c r="Q50" s="32"/>
      <c r="R50" s="33"/>
      <c r="S50" s="28"/>
    </row>
    <row r="51" spans="2:19" ht="14.25" customHeight="1">
      <c r="B51" s="24"/>
      <c r="C51" s="28" t="s">
        <v>100</v>
      </c>
      <c r="D51" s="28" t="s">
        <v>100</v>
      </c>
      <c r="E51" s="28" t="s">
        <v>44</v>
      </c>
      <c r="F51" s="28" t="s">
        <v>101</v>
      </c>
      <c r="G51" s="29">
        <v>0.119056</v>
      </c>
      <c r="H51" s="30">
        <v>247</v>
      </c>
      <c r="I51" s="30">
        <v>399.02</v>
      </c>
      <c r="J51" s="31">
        <v>5670</v>
      </c>
      <c r="K51" s="30">
        <v>110</v>
      </c>
      <c r="L51" s="31">
        <v>27100</v>
      </c>
      <c r="M51" s="30">
        <v>135</v>
      </c>
      <c r="N51" s="32">
        <v>12.5</v>
      </c>
      <c r="O51" s="32"/>
      <c r="P51" s="32">
        <v>23.8</v>
      </c>
      <c r="Q51" s="32">
        <v>294</v>
      </c>
      <c r="R51" s="32">
        <v>12</v>
      </c>
      <c r="S51" s="28" t="s">
        <v>53</v>
      </c>
    </row>
    <row r="52" spans="2:19" ht="14.25" customHeight="1">
      <c r="B52" s="24"/>
      <c r="C52" s="28" t="s">
        <v>102</v>
      </c>
      <c r="D52" s="28" t="s">
        <v>102</v>
      </c>
      <c r="E52" s="28" t="s">
        <v>44</v>
      </c>
      <c r="F52" s="28" t="s">
        <v>103</v>
      </c>
      <c r="G52" s="29">
        <v>0.119056</v>
      </c>
      <c r="H52" s="30">
        <v>120.85</v>
      </c>
      <c r="I52" s="30">
        <v>152.63999999999999</v>
      </c>
      <c r="J52" s="31">
        <v>2900</v>
      </c>
      <c r="K52" s="30">
        <v>104.9</v>
      </c>
      <c r="L52" s="31">
        <v>12676</v>
      </c>
      <c r="M52" s="30">
        <v>68</v>
      </c>
      <c r="N52" s="32">
        <v>5.83</v>
      </c>
      <c r="O52" s="32"/>
      <c r="P52" s="32">
        <v>28.25</v>
      </c>
      <c r="Q52" s="32">
        <v>96.05</v>
      </c>
      <c r="R52" s="32">
        <v>12</v>
      </c>
      <c r="S52" s="28" t="s">
        <v>34</v>
      </c>
    </row>
    <row r="53" spans="2:19" ht="14.25" customHeight="1">
      <c r="B53" s="24"/>
      <c r="C53" s="28" t="s">
        <v>104</v>
      </c>
      <c r="D53" s="28" t="s">
        <v>104</v>
      </c>
      <c r="E53" s="28" t="s">
        <v>44</v>
      </c>
      <c r="F53" s="28" t="s">
        <v>105</v>
      </c>
      <c r="G53" s="29">
        <v>0.119056</v>
      </c>
      <c r="H53" s="30">
        <v>153.01</v>
      </c>
      <c r="I53" s="30">
        <v>198.22</v>
      </c>
      <c r="J53" s="31">
        <v>3100</v>
      </c>
      <c r="K53" s="30">
        <v>125.74</v>
      </c>
      <c r="L53" s="31">
        <v>19240</v>
      </c>
      <c r="M53" s="30">
        <v>102</v>
      </c>
      <c r="N53" s="32">
        <v>8.85</v>
      </c>
      <c r="O53" s="32"/>
      <c r="P53" s="32">
        <v>33.85</v>
      </c>
      <c r="Q53" s="32">
        <v>115.09</v>
      </c>
      <c r="R53" s="32">
        <v>12</v>
      </c>
      <c r="S53" s="28" t="s">
        <v>34</v>
      </c>
    </row>
    <row r="54" spans="2:19" ht="14.25" customHeight="1">
      <c r="B54" s="24"/>
      <c r="C54" s="28" t="s">
        <v>106</v>
      </c>
      <c r="D54" s="28" t="s">
        <v>106</v>
      </c>
      <c r="E54" s="28" t="s">
        <v>44</v>
      </c>
      <c r="F54" s="28" t="s">
        <v>107</v>
      </c>
      <c r="G54" s="29">
        <v>0.119056</v>
      </c>
      <c r="H54" s="30">
        <v>535</v>
      </c>
      <c r="I54" s="30">
        <v>575</v>
      </c>
      <c r="J54" s="31">
        <v>8000</v>
      </c>
      <c r="K54" s="30">
        <v>147</v>
      </c>
      <c r="L54" s="31">
        <v>78700</v>
      </c>
      <c r="M54" s="30">
        <v>399</v>
      </c>
      <c r="N54" s="32" t="s">
        <v>108</v>
      </c>
      <c r="O54" s="32"/>
      <c r="P54" s="32"/>
      <c r="Q54" s="32"/>
      <c r="R54" s="32"/>
      <c r="S54" s="28"/>
    </row>
    <row r="55" spans="2:19" ht="14.25" customHeight="1">
      <c r="B55" s="24"/>
      <c r="C55" s="23"/>
      <c r="D55" s="23"/>
      <c r="E55" s="28"/>
      <c r="F55" s="28"/>
      <c r="G55" s="29"/>
      <c r="H55" s="30"/>
      <c r="I55" s="30"/>
      <c r="J55" s="31"/>
      <c r="K55" s="30"/>
      <c r="L55" s="31"/>
      <c r="M55" s="30"/>
      <c r="N55" s="32"/>
      <c r="O55" s="32"/>
      <c r="P55" s="32"/>
      <c r="Q55" s="32"/>
      <c r="R55" s="32"/>
      <c r="S55" s="28"/>
    </row>
    <row r="56" spans="2:19" ht="14.25" customHeight="1">
      <c r="B56" s="24"/>
      <c r="C56" s="23"/>
      <c r="D56" s="23"/>
      <c r="E56" s="28"/>
      <c r="F56" s="28"/>
      <c r="G56" s="29"/>
      <c r="H56" s="30"/>
      <c r="I56" s="30"/>
      <c r="J56" s="31"/>
      <c r="K56" s="30"/>
      <c r="L56" s="31"/>
      <c r="M56" s="30"/>
      <c r="N56" s="32"/>
      <c r="O56" s="32"/>
      <c r="P56" s="32"/>
      <c r="Q56" s="32"/>
      <c r="R56" s="32"/>
      <c r="S56" s="28"/>
    </row>
    <row r="57" spans="2:19" ht="14.25" customHeight="1">
      <c r="B57" s="24"/>
      <c r="C57" s="23"/>
      <c r="D57" s="23"/>
      <c r="E57" s="28"/>
      <c r="F57" s="28"/>
      <c r="G57" s="29"/>
      <c r="H57" s="30"/>
      <c r="I57" s="30"/>
      <c r="J57" s="31"/>
      <c r="K57" s="30"/>
      <c r="L57" s="31"/>
      <c r="M57" s="30"/>
      <c r="N57" s="32"/>
      <c r="O57" s="32"/>
      <c r="P57" s="32"/>
      <c r="Q57" s="32"/>
      <c r="R57" s="32"/>
      <c r="S57" s="28"/>
    </row>
    <row r="58" spans="2:19" ht="14.25" customHeight="1">
      <c r="B58" s="23" t="s">
        <v>109</v>
      </c>
      <c r="C58" s="28" t="s">
        <v>110</v>
      </c>
      <c r="D58" s="28" t="s">
        <v>110</v>
      </c>
      <c r="E58" s="28" t="s">
        <v>44</v>
      </c>
      <c r="F58" s="28" t="s">
        <v>111</v>
      </c>
      <c r="G58" s="29">
        <v>3.107E-2</v>
      </c>
      <c r="H58" s="30">
        <v>13</v>
      </c>
      <c r="I58" s="30">
        <v>23.9</v>
      </c>
      <c r="J58" s="31">
        <v>810</v>
      </c>
      <c r="K58" s="30">
        <v>29.6</v>
      </c>
      <c r="L58" s="31">
        <v>385</v>
      </c>
      <c r="M58" s="30">
        <v>2</v>
      </c>
      <c r="N58" s="32">
        <v>0.17</v>
      </c>
      <c r="O58" s="32"/>
      <c r="P58" s="32">
        <v>3.5</v>
      </c>
      <c r="Q58" s="32"/>
      <c r="R58" s="32">
        <v>10</v>
      </c>
      <c r="S58" s="28" t="s">
        <v>53</v>
      </c>
    </row>
    <row r="59" spans="2:19" ht="14.25" customHeight="1">
      <c r="B59" s="24"/>
      <c r="C59" s="28" t="s">
        <v>112</v>
      </c>
      <c r="D59" s="28" t="s">
        <v>112</v>
      </c>
      <c r="E59" s="28" t="s">
        <v>44</v>
      </c>
      <c r="F59" s="28" t="s">
        <v>113</v>
      </c>
      <c r="G59" s="29">
        <v>8.0038200000000004E-2</v>
      </c>
      <c r="H59" s="30">
        <v>20.100000000000001</v>
      </c>
      <c r="I59" s="30">
        <v>39.82</v>
      </c>
      <c r="J59" s="31">
        <v>1100</v>
      </c>
      <c r="K59" s="30">
        <v>37.6</v>
      </c>
      <c r="L59" s="31">
        <v>754</v>
      </c>
      <c r="M59" s="30">
        <v>3.9</v>
      </c>
      <c r="N59" s="32">
        <v>0.32</v>
      </c>
      <c r="O59" s="32"/>
      <c r="P59" s="32"/>
      <c r="Q59" s="32"/>
      <c r="R59" s="32"/>
      <c r="S59" s="28"/>
    </row>
    <row r="60" spans="2:19" ht="14.25" customHeight="1">
      <c r="B60" s="24"/>
      <c r="C60" s="28" t="s">
        <v>114</v>
      </c>
      <c r="D60" s="28" t="s">
        <v>114</v>
      </c>
      <c r="E60" s="28" t="s">
        <v>44</v>
      </c>
      <c r="F60" s="28" t="s">
        <v>115</v>
      </c>
      <c r="G60" s="29">
        <v>0.10130399999999999</v>
      </c>
      <c r="H60" s="30">
        <v>33.5</v>
      </c>
      <c r="I60" s="30">
        <v>30.24</v>
      </c>
      <c r="J60" s="31">
        <v>1570</v>
      </c>
      <c r="K60" s="30">
        <v>44.9</v>
      </c>
      <c r="L60" s="31">
        <v>1500</v>
      </c>
      <c r="M60" s="30">
        <v>7.4</v>
      </c>
      <c r="N60" s="32">
        <v>0.69</v>
      </c>
      <c r="O60" s="32"/>
      <c r="P60" s="32"/>
      <c r="Q60" s="32"/>
      <c r="R60" s="32"/>
      <c r="S60" s="28"/>
    </row>
    <row r="61" spans="2:19" ht="14.25" customHeight="1">
      <c r="B61" s="24"/>
      <c r="C61" s="28" t="s">
        <v>116</v>
      </c>
      <c r="D61" s="28" t="s">
        <v>116</v>
      </c>
      <c r="E61" s="28" t="s">
        <v>44</v>
      </c>
      <c r="F61" s="28" t="s">
        <v>117</v>
      </c>
      <c r="G61" s="29">
        <v>0.237600125</v>
      </c>
      <c r="H61" s="30">
        <v>51.8</v>
      </c>
      <c r="I61" s="30">
        <v>45.868749999999999</v>
      </c>
      <c r="J61" s="31">
        <v>2000</v>
      </c>
      <c r="K61" s="30">
        <v>57.8</v>
      </c>
      <c r="L61" s="31">
        <v>2990</v>
      </c>
      <c r="M61" s="30">
        <v>15</v>
      </c>
      <c r="N61" s="32">
        <v>1.4</v>
      </c>
      <c r="O61" s="32"/>
      <c r="P61" s="32"/>
      <c r="Q61" s="32"/>
      <c r="R61" s="32"/>
      <c r="S61" s="28"/>
    </row>
    <row r="62" spans="2:19" ht="14.25" customHeight="1">
      <c r="B62" s="24"/>
      <c r="C62" s="28" t="s">
        <v>118</v>
      </c>
      <c r="D62" s="28" t="s">
        <v>118</v>
      </c>
      <c r="E62" s="28" t="s">
        <v>44</v>
      </c>
      <c r="F62" s="28" t="s">
        <v>119</v>
      </c>
      <c r="G62" s="29">
        <v>0.65145600000000004</v>
      </c>
      <c r="H62" s="30">
        <v>83.2</v>
      </c>
      <c r="I62" s="30">
        <v>78.3</v>
      </c>
      <c r="J62" s="31">
        <v>2590</v>
      </c>
      <c r="K62" s="30">
        <v>74.3</v>
      </c>
      <c r="L62" s="31">
        <v>6180</v>
      </c>
      <c r="M62" s="30">
        <v>32</v>
      </c>
      <c r="N62" s="32">
        <v>2.9</v>
      </c>
      <c r="O62" s="32"/>
      <c r="P62" s="32"/>
      <c r="Q62" s="32"/>
      <c r="R62" s="32"/>
      <c r="S62" s="28"/>
    </row>
    <row r="63" spans="2:19" ht="14.25" customHeight="1">
      <c r="B63" s="24"/>
      <c r="C63" s="23"/>
      <c r="D63" s="23"/>
      <c r="E63" s="28"/>
      <c r="F63" s="28"/>
      <c r="G63" s="29"/>
      <c r="H63" s="30"/>
      <c r="I63" s="30"/>
      <c r="J63" s="31"/>
      <c r="K63" s="30"/>
      <c r="L63" s="31"/>
      <c r="M63" s="30"/>
      <c r="N63" s="32"/>
      <c r="O63" s="32"/>
      <c r="P63" s="32"/>
      <c r="Q63" s="32"/>
      <c r="R63" s="32"/>
      <c r="S63" s="28"/>
    </row>
    <row r="64" spans="2:19" ht="14.25" customHeight="1">
      <c r="B64" s="24"/>
      <c r="C64" s="23"/>
      <c r="D64" s="23"/>
      <c r="E64" s="28"/>
      <c r="F64" s="28"/>
      <c r="G64" s="29"/>
      <c r="H64" s="30"/>
      <c r="I64" s="30"/>
      <c r="J64" s="31"/>
      <c r="K64" s="30"/>
      <c r="L64" s="31"/>
      <c r="M64" s="30"/>
      <c r="N64" s="32"/>
      <c r="O64" s="32"/>
      <c r="P64" s="32"/>
      <c r="Q64" s="32"/>
      <c r="R64" s="32"/>
      <c r="S64" s="28"/>
    </row>
    <row r="65" spans="2:19" ht="14.25" customHeight="1">
      <c r="B65" s="24"/>
      <c r="C65" s="23"/>
      <c r="D65" s="23"/>
      <c r="E65" s="28"/>
      <c r="F65" s="28"/>
      <c r="G65" s="29"/>
      <c r="H65" s="30"/>
      <c r="I65" s="30"/>
      <c r="J65" s="31"/>
      <c r="K65" s="30"/>
      <c r="L65" s="31"/>
      <c r="M65" s="30"/>
      <c r="N65" s="32"/>
      <c r="O65" s="32"/>
      <c r="P65" s="32"/>
      <c r="Q65" s="32"/>
      <c r="R65" s="32"/>
      <c r="S65" s="28"/>
    </row>
    <row r="66" spans="2:19" ht="14.25" customHeight="1">
      <c r="B66" s="23" t="s">
        <v>120</v>
      </c>
      <c r="C66" s="28" t="s">
        <v>121</v>
      </c>
      <c r="D66" s="28" t="s">
        <v>121</v>
      </c>
      <c r="E66" s="28" t="s">
        <v>122</v>
      </c>
      <c r="F66" s="28" t="s">
        <v>123</v>
      </c>
      <c r="G66" s="29">
        <v>8.352E-3</v>
      </c>
      <c r="H66" s="30">
        <v>7.2</v>
      </c>
      <c r="I66" s="30">
        <v>11.6</v>
      </c>
      <c r="J66" s="31">
        <v>500</v>
      </c>
      <c r="K66" s="30">
        <v>23.7</v>
      </c>
      <c r="L66" s="31">
        <v>171</v>
      </c>
      <c r="M66" s="30">
        <v>0.45</v>
      </c>
      <c r="N66" s="32">
        <v>0.02</v>
      </c>
      <c r="O66" s="32"/>
      <c r="P66" s="32">
        <v>6</v>
      </c>
      <c r="Q66" s="32"/>
      <c r="R66" s="32">
        <v>8</v>
      </c>
      <c r="S66" s="28" t="s">
        <v>34</v>
      </c>
    </row>
    <row r="67" spans="2:19" ht="14.25" customHeight="1">
      <c r="B67" s="24"/>
      <c r="C67" s="28" t="s">
        <v>124</v>
      </c>
      <c r="D67" s="28" t="s">
        <v>124</v>
      </c>
      <c r="E67" s="28" t="s">
        <v>122</v>
      </c>
      <c r="F67" s="28" t="s">
        <v>125</v>
      </c>
      <c r="G67" s="29">
        <v>1.8673200000000001E-2</v>
      </c>
      <c r="H67" s="30">
        <v>11.4</v>
      </c>
      <c r="I67" s="30">
        <v>16.38</v>
      </c>
      <c r="J67" s="31">
        <v>700</v>
      </c>
      <c r="K67" s="30">
        <v>28.5</v>
      </c>
      <c r="L67" s="31">
        <v>325</v>
      </c>
      <c r="M67" s="30">
        <v>0.9</v>
      </c>
      <c r="N67" s="32">
        <v>0.04</v>
      </c>
      <c r="O67" s="32"/>
      <c r="P67" s="32">
        <v>7.6</v>
      </c>
      <c r="Q67" s="32"/>
      <c r="R67" s="32">
        <v>8</v>
      </c>
      <c r="S67" s="28" t="s">
        <v>34</v>
      </c>
    </row>
    <row r="68" spans="2:19" ht="14.25" customHeight="1">
      <c r="B68" s="24"/>
      <c r="C68" s="28" t="s">
        <v>126</v>
      </c>
      <c r="D68" s="28" t="s">
        <v>126</v>
      </c>
      <c r="E68" s="28" t="s">
        <v>122</v>
      </c>
      <c r="F68" s="28" t="s">
        <v>127</v>
      </c>
      <c r="G68" s="29">
        <v>4.7025000000000004E-2</v>
      </c>
      <c r="H68" s="30">
        <v>15</v>
      </c>
      <c r="I68" s="30">
        <v>31.35</v>
      </c>
      <c r="J68" s="31">
        <v>780</v>
      </c>
      <c r="K68" s="30">
        <v>34</v>
      </c>
      <c r="L68" s="31">
        <v>510</v>
      </c>
      <c r="M68" s="30">
        <v>1.4</v>
      </c>
      <c r="N68" s="32">
        <v>0.06</v>
      </c>
      <c r="O68" s="32"/>
      <c r="P68" s="32">
        <v>8.8000000000000007</v>
      </c>
      <c r="Q68" s="32"/>
      <c r="R68" s="32">
        <v>8</v>
      </c>
      <c r="S68" s="28" t="s">
        <v>34</v>
      </c>
    </row>
    <row r="69" spans="2:19" ht="14.25" customHeight="1">
      <c r="B69" s="24"/>
      <c r="C69" s="28" t="s">
        <v>128</v>
      </c>
      <c r="D69" s="28" t="s">
        <v>128</v>
      </c>
      <c r="E69" s="28" t="s">
        <v>32</v>
      </c>
      <c r="F69" s="28" t="s">
        <v>129</v>
      </c>
      <c r="G69" s="29">
        <v>0.155</v>
      </c>
      <c r="H69" s="30">
        <v>31</v>
      </c>
      <c r="I69" s="30">
        <v>50</v>
      </c>
      <c r="J69" s="31">
        <v>1300</v>
      </c>
      <c r="K69" s="30">
        <v>47</v>
      </c>
      <c r="L69" s="31">
        <v>1460</v>
      </c>
      <c r="M69" s="30">
        <v>3.5</v>
      </c>
      <c r="N69" s="32">
        <v>0.27</v>
      </c>
      <c r="O69" s="32"/>
      <c r="P69" s="32">
        <v>13</v>
      </c>
      <c r="Q69" s="32"/>
      <c r="R69" s="32">
        <v>8</v>
      </c>
      <c r="S69" s="28" t="s">
        <v>34</v>
      </c>
    </row>
    <row r="70" spans="2:19" ht="14.25" customHeight="1">
      <c r="B70" s="24"/>
      <c r="C70" s="28" t="s">
        <v>130</v>
      </c>
      <c r="D70" s="28" t="s">
        <v>130</v>
      </c>
      <c r="E70" s="28" t="s">
        <v>131</v>
      </c>
      <c r="F70" s="28" t="s">
        <v>132</v>
      </c>
      <c r="G70" s="29">
        <v>0.393762</v>
      </c>
      <c r="H70" s="30">
        <v>58</v>
      </c>
      <c r="I70" s="30">
        <v>67.89</v>
      </c>
      <c r="J70" s="31">
        <v>2200</v>
      </c>
      <c r="K70" s="30">
        <v>57</v>
      </c>
      <c r="L70" s="31">
        <v>3300</v>
      </c>
      <c r="M70" s="30">
        <v>8</v>
      </c>
      <c r="N70" s="32">
        <v>0.38</v>
      </c>
      <c r="O70" s="32"/>
      <c r="P70" s="32">
        <v>16.399999999999999</v>
      </c>
      <c r="Q70" s="32">
        <v>43.4</v>
      </c>
      <c r="R70" s="32">
        <v>10</v>
      </c>
      <c r="S70" s="28" t="s">
        <v>34</v>
      </c>
    </row>
    <row r="71" spans="2:19" ht="14.25" customHeight="1">
      <c r="B71" s="24"/>
      <c r="C71" s="28" t="s">
        <v>133</v>
      </c>
      <c r="D71" s="28" t="s">
        <v>133</v>
      </c>
      <c r="E71" s="28" t="s">
        <v>131</v>
      </c>
      <c r="F71" s="28" t="s">
        <v>134</v>
      </c>
      <c r="G71" s="29">
        <v>0.6027840000000001</v>
      </c>
      <c r="H71" s="30">
        <v>69</v>
      </c>
      <c r="I71" s="30">
        <v>87.36</v>
      </c>
      <c r="J71" s="31">
        <v>2100</v>
      </c>
      <c r="K71" s="30">
        <v>68</v>
      </c>
      <c r="L71" s="31">
        <v>4700</v>
      </c>
      <c r="M71" s="30">
        <v>12</v>
      </c>
      <c r="N71" s="32">
        <v>0.54</v>
      </c>
      <c r="O71" s="32"/>
      <c r="P71" s="32">
        <v>20.100000000000001</v>
      </c>
      <c r="Q71" s="32"/>
      <c r="R71" s="32">
        <v>12</v>
      </c>
      <c r="S71" s="28" t="s">
        <v>34</v>
      </c>
    </row>
    <row r="72" spans="2:19" ht="14.25" customHeight="1">
      <c r="B72" s="24"/>
      <c r="C72" s="23"/>
      <c r="D72" s="23"/>
      <c r="E72" s="28"/>
      <c r="F72" s="28"/>
      <c r="G72" s="29"/>
      <c r="H72" s="30"/>
      <c r="I72" s="30"/>
      <c r="J72" s="31"/>
      <c r="K72" s="30"/>
      <c r="L72" s="31"/>
      <c r="M72" s="30"/>
      <c r="N72" s="32"/>
      <c r="O72" s="32"/>
      <c r="P72" s="32"/>
      <c r="Q72" s="32"/>
      <c r="R72" s="32"/>
      <c r="S72" s="28"/>
    </row>
    <row r="73" spans="2:19" ht="14.25" customHeight="1">
      <c r="B73" s="24"/>
      <c r="C73" s="23"/>
      <c r="D73" s="23"/>
      <c r="E73" s="28"/>
      <c r="F73" s="28"/>
      <c r="G73" s="29"/>
      <c r="H73" s="30"/>
      <c r="I73" s="30"/>
      <c r="J73" s="31"/>
      <c r="K73" s="30"/>
      <c r="L73" s="31"/>
      <c r="M73" s="30"/>
      <c r="N73" s="32"/>
      <c r="O73" s="32"/>
      <c r="P73" s="32"/>
      <c r="Q73" s="32"/>
      <c r="R73" s="32"/>
      <c r="S73" s="28"/>
    </row>
    <row r="74" spans="2:19" ht="14.25" customHeight="1">
      <c r="B74" s="24"/>
      <c r="C74" s="23"/>
      <c r="D74" s="23"/>
      <c r="E74" s="28"/>
      <c r="F74" s="28"/>
      <c r="G74" s="29"/>
      <c r="H74" s="30"/>
      <c r="I74" s="30"/>
      <c r="J74" s="31"/>
      <c r="K74" s="30"/>
      <c r="L74" s="31"/>
      <c r="M74" s="30"/>
      <c r="N74" s="32"/>
      <c r="O74" s="32"/>
      <c r="P74" s="32"/>
      <c r="Q74" s="32"/>
      <c r="R74" s="32"/>
      <c r="S74" s="28"/>
    </row>
    <row r="75" spans="2:19" ht="14.25" customHeight="1">
      <c r="B75" s="23" t="s">
        <v>135</v>
      </c>
      <c r="C75" s="28" t="s">
        <v>136</v>
      </c>
      <c r="D75" s="28" t="s">
        <v>136</v>
      </c>
      <c r="E75" s="28" t="s">
        <v>44</v>
      </c>
      <c r="F75" s="28" t="s">
        <v>137</v>
      </c>
      <c r="G75" s="29">
        <v>2.3500800000000002E-2</v>
      </c>
      <c r="H75" s="30">
        <v>14.4</v>
      </c>
      <c r="I75" s="30">
        <v>16.32</v>
      </c>
      <c r="J75" s="31">
        <v>1200</v>
      </c>
      <c r="K75" s="30">
        <v>21.3</v>
      </c>
      <c r="L75" s="31">
        <v>308</v>
      </c>
      <c r="M75" s="30">
        <v>1.9</v>
      </c>
      <c r="N75" s="32">
        <v>0.12</v>
      </c>
      <c r="O75" s="32"/>
      <c r="P75" s="32">
        <v>3.5</v>
      </c>
      <c r="Q75" s="32">
        <v>8.6</v>
      </c>
      <c r="R75" s="32">
        <v>10</v>
      </c>
      <c r="S75" s="28" t="s">
        <v>53</v>
      </c>
    </row>
    <row r="76" spans="2:19" ht="14.25" customHeight="1">
      <c r="B76" s="24"/>
      <c r="C76" s="28" t="s">
        <v>138</v>
      </c>
      <c r="D76" s="28" t="s">
        <v>138</v>
      </c>
      <c r="E76" s="28" t="s">
        <v>44</v>
      </c>
      <c r="F76" s="28" t="s">
        <v>139</v>
      </c>
      <c r="G76" s="29">
        <v>8.3892599999999998E-2</v>
      </c>
      <c r="H76" s="30">
        <v>19.8</v>
      </c>
      <c r="I76" s="30">
        <v>42.37</v>
      </c>
      <c r="J76" s="31">
        <v>1100</v>
      </c>
      <c r="K76" s="30">
        <v>34.6</v>
      </c>
      <c r="L76" s="31">
        <v>670</v>
      </c>
      <c r="M76" s="30">
        <v>3.3</v>
      </c>
      <c r="N76" s="32">
        <v>0.31</v>
      </c>
      <c r="O76" s="32"/>
      <c r="P76" s="32">
        <v>8.5</v>
      </c>
      <c r="Q76" s="32">
        <v>27.3</v>
      </c>
      <c r="R76" s="34" t="s">
        <v>58</v>
      </c>
      <c r="S76" s="28" t="s">
        <v>140</v>
      </c>
    </row>
    <row r="77" spans="2:19" ht="14.25" customHeight="1">
      <c r="B77" s="24"/>
      <c r="C77" s="28" t="s">
        <v>141</v>
      </c>
      <c r="D77" s="28" t="s">
        <v>141</v>
      </c>
      <c r="E77" s="28" t="s">
        <v>44</v>
      </c>
      <c r="F77" s="28" t="s">
        <v>142</v>
      </c>
      <c r="G77" s="29">
        <v>0.130464</v>
      </c>
      <c r="H77" s="30">
        <v>24</v>
      </c>
      <c r="I77" s="30">
        <v>54.36</v>
      </c>
      <c r="J77" s="31">
        <v>1400</v>
      </c>
      <c r="K77" s="30">
        <v>39.6</v>
      </c>
      <c r="L77" s="31">
        <v>950</v>
      </c>
      <c r="M77" s="30">
        <v>5.0999999999999996</v>
      </c>
      <c r="N77" s="32">
        <v>0.42</v>
      </c>
      <c r="O77" s="32"/>
      <c r="P77" s="32">
        <v>9.0500000000000007</v>
      </c>
      <c r="Q77" s="32">
        <v>36.4</v>
      </c>
      <c r="R77" s="32" t="s">
        <v>46</v>
      </c>
      <c r="S77" s="28" t="s">
        <v>140</v>
      </c>
    </row>
    <row r="78" spans="2:19" ht="14.25" customHeight="1">
      <c r="B78" s="24"/>
      <c r="C78" s="28" t="s">
        <v>143</v>
      </c>
      <c r="D78" s="28" t="s">
        <v>143</v>
      </c>
      <c r="E78" s="28" t="s">
        <v>44</v>
      </c>
      <c r="F78" s="28" t="s">
        <v>144</v>
      </c>
      <c r="G78" s="29">
        <v>0.16060800000000003</v>
      </c>
      <c r="H78" s="30">
        <v>42</v>
      </c>
      <c r="I78" s="30">
        <v>38.24</v>
      </c>
      <c r="J78" s="31">
        <v>2400</v>
      </c>
      <c r="K78" s="30">
        <v>39.299999999999997</v>
      </c>
      <c r="L78" s="31">
        <v>1630</v>
      </c>
      <c r="M78" s="30">
        <v>9.8000000000000007</v>
      </c>
      <c r="N78" s="32">
        <v>0.6</v>
      </c>
      <c r="O78" s="32"/>
      <c r="P78" s="32">
        <v>8.4499999999999993</v>
      </c>
      <c r="Q78" s="32">
        <v>20</v>
      </c>
      <c r="R78" s="34">
        <v>8</v>
      </c>
      <c r="S78" s="28" t="s">
        <v>53</v>
      </c>
    </row>
    <row r="79" spans="2:19" ht="14.25" customHeight="1">
      <c r="B79" s="24"/>
      <c r="C79" s="28" t="s">
        <v>145</v>
      </c>
      <c r="D79" s="28" t="s">
        <v>145</v>
      </c>
      <c r="E79" s="28" t="s">
        <v>44</v>
      </c>
      <c r="F79" s="28" t="s">
        <v>146</v>
      </c>
      <c r="G79" s="29">
        <v>0.31647900000000001</v>
      </c>
      <c r="H79" s="30">
        <v>41</v>
      </c>
      <c r="I79" s="30">
        <v>77.19</v>
      </c>
      <c r="J79" s="31">
        <v>2140</v>
      </c>
      <c r="K79" s="30">
        <v>47</v>
      </c>
      <c r="L79" s="31">
        <v>1927</v>
      </c>
      <c r="M79" s="30">
        <v>9.8000000000000007</v>
      </c>
      <c r="N79" s="32">
        <v>0.79</v>
      </c>
      <c r="O79" s="32"/>
      <c r="P79" s="32">
        <v>9.8000000000000007</v>
      </c>
      <c r="Q79" s="32">
        <v>42.5</v>
      </c>
      <c r="R79" s="32">
        <v>8</v>
      </c>
      <c r="S79" s="28" t="s">
        <v>53</v>
      </c>
    </row>
    <row r="80" spans="2:19" ht="14.25" customHeight="1">
      <c r="B80" s="24"/>
      <c r="C80" s="28" t="s">
        <v>147</v>
      </c>
      <c r="D80" s="28" t="s">
        <v>147</v>
      </c>
      <c r="E80" s="28" t="s">
        <v>44</v>
      </c>
      <c r="F80" s="28" t="s">
        <v>148</v>
      </c>
      <c r="G80" s="29">
        <v>0.19795000000000001</v>
      </c>
      <c r="H80" s="30">
        <v>37</v>
      </c>
      <c r="I80" s="30">
        <v>53.5</v>
      </c>
      <c r="J80" s="31">
        <v>2000</v>
      </c>
      <c r="K80" s="30">
        <v>41.8</v>
      </c>
      <c r="L80" s="31">
        <v>1550</v>
      </c>
      <c r="M80" s="30">
        <v>8.5</v>
      </c>
      <c r="N80" s="32">
        <v>0.64</v>
      </c>
      <c r="O80" s="32"/>
      <c r="P80" s="32">
        <v>8.4499999999999993</v>
      </c>
      <c r="Q80" s="32">
        <v>31.5</v>
      </c>
      <c r="R80" s="34">
        <v>8</v>
      </c>
      <c r="S80" s="28" t="s">
        <v>53</v>
      </c>
    </row>
    <row r="81" spans="2:19" ht="14.25" customHeight="1">
      <c r="B81" s="24"/>
      <c r="C81" s="28" t="s">
        <v>149</v>
      </c>
      <c r="D81" s="28" t="s">
        <v>149</v>
      </c>
      <c r="E81" s="28" t="s">
        <v>44</v>
      </c>
      <c r="F81" s="28" t="s">
        <v>150</v>
      </c>
      <c r="G81" s="29">
        <v>0.60053800000000002</v>
      </c>
      <c r="H81" s="30">
        <v>86</v>
      </c>
      <c r="I81" s="30">
        <v>69.83</v>
      </c>
      <c r="J81" s="31">
        <v>4300</v>
      </c>
      <c r="K81" s="30">
        <v>48.2</v>
      </c>
      <c r="L81" s="31">
        <v>4145</v>
      </c>
      <c r="M81" s="30">
        <v>22</v>
      </c>
      <c r="N81" s="32">
        <v>1.65</v>
      </c>
      <c r="O81" s="32"/>
      <c r="P81" s="32">
        <v>9.6</v>
      </c>
      <c r="Q81" s="32">
        <v>39.4</v>
      </c>
      <c r="R81" s="32">
        <v>10</v>
      </c>
      <c r="S81" s="28" t="s">
        <v>53</v>
      </c>
    </row>
    <row r="82" spans="2:19" ht="14.25" customHeight="1">
      <c r="B82" s="24"/>
      <c r="C82" s="28" t="s">
        <v>151</v>
      </c>
      <c r="D82" s="28" t="s">
        <v>151</v>
      </c>
      <c r="E82" s="28" t="s">
        <v>44</v>
      </c>
      <c r="F82" s="28" t="s">
        <v>152</v>
      </c>
      <c r="G82" s="29">
        <v>0.82073400000000007</v>
      </c>
      <c r="H82" s="30">
        <v>111</v>
      </c>
      <c r="I82" s="30">
        <v>73.94</v>
      </c>
      <c r="J82" s="31">
        <v>4690</v>
      </c>
      <c r="K82" s="30">
        <v>58</v>
      </c>
      <c r="L82" s="31">
        <v>6440</v>
      </c>
      <c r="M82" s="30">
        <v>34</v>
      </c>
      <c r="N82" s="32">
        <v>3.1</v>
      </c>
      <c r="O82" s="32"/>
      <c r="P82" s="32">
        <v>13.7</v>
      </c>
      <c r="Q82" s="32">
        <v>44.5</v>
      </c>
      <c r="R82" s="34" t="s">
        <v>78</v>
      </c>
      <c r="S82" s="28" t="s">
        <v>53</v>
      </c>
    </row>
    <row r="83" spans="2:19" ht="14.25" customHeight="1">
      <c r="B83" s="24"/>
      <c r="C83" s="28" t="s">
        <v>153</v>
      </c>
      <c r="D83" s="28" t="s">
        <v>153</v>
      </c>
      <c r="E83" s="28" t="s">
        <v>44</v>
      </c>
      <c r="F83" s="28" t="s">
        <v>154</v>
      </c>
      <c r="G83" s="29">
        <v>1.5854115</v>
      </c>
      <c r="H83" s="30">
        <v>118.5</v>
      </c>
      <c r="I83" s="30">
        <v>133.79</v>
      </c>
      <c r="J83" s="31">
        <v>4400</v>
      </c>
      <c r="K83" s="30">
        <v>67.5</v>
      </c>
      <c r="L83" s="31">
        <v>8002</v>
      </c>
      <c r="M83" s="30">
        <v>41</v>
      </c>
      <c r="N83" s="32">
        <v>3.5</v>
      </c>
      <c r="O83" s="32"/>
      <c r="P83" s="32">
        <v>16.600000000000001</v>
      </c>
      <c r="Q83" s="32">
        <v>88.8</v>
      </c>
      <c r="R83" s="32" t="s">
        <v>155</v>
      </c>
      <c r="S83" s="28" t="s">
        <v>53</v>
      </c>
    </row>
    <row r="84" spans="2:19" ht="14.25" customHeight="1">
      <c r="B84" s="24"/>
      <c r="C84" s="28" t="s">
        <v>156</v>
      </c>
      <c r="D84" s="28" t="s">
        <v>156</v>
      </c>
      <c r="E84" s="28" t="s">
        <v>44</v>
      </c>
      <c r="F84" s="28" t="s">
        <v>157</v>
      </c>
      <c r="G84" s="29">
        <v>1.3343226000000001</v>
      </c>
      <c r="H84" s="30">
        <v>101.4</v>
      </c>
      <c r="I84" s="30">
        <v>131.59</v>
      </c>
      <c r="J84" s="31">
        <v>3800</v>
      </c>
      <c r="K84" s="30">
        <v>67.099999999999994</v>
      </c>
      <c r="L84" s="31">
        <v>6804</v>
      </c>
      <c r="M84" s="30">
        <v>36</v>
      </c>
      <c r="N84" s="32">
        <v>2.85</v>
      </c>
      <c r="O84" s="32"/>
      <c r="P84" s="32">
        <v>15.7</v>
      </c>
      <c r="Q84" s="32">
        <v>88.7</v>
      </c>
      <c r="R84" s="34">
        <v>12</v>
      </c>
      <c r="S84" s="28" t="s">
        <v>53</v>
      </c>
    </row>
    <row r="85" spans="2:19" ht="14.25" customHeight="1">
      <c r="B85" s="24"/>
      <c r="C85" s="28" t="s">
        <v>158</v>
      </c>
      <c r="D85" s="28" t="s">
        <v>158</v>
      </c>
      <c r="E85" s="28" t="s">
        <v>44</v>
      </c>
      <c r="F85" s="28" t="s">
        <v>159</v>
      </c>
      <c r="G85" s="29">
        <v>1.6592</v>
      </c>
      <c r="H85" s="30">
        <v>122</v>
      </c>
      <c r="I85" s="30">
        <v>136</v>
      </c>
      <c r="J85" s="31">
        <v>3950</v>
      </c>
      <c r="K85" s="30">
        <v>68</v>
      </c>
      <c r="L85" s="31">
        <v>8350</v>
      </c>
      <c r="M85" s="30">
        <v>43</v>
      </c>
      <c r="N85" s="32">
        <v>4.2</v>
      </c>
      <c r="O85" s="32"/>
      <c r="P85" s="32"/>
      <c r="Q85" s="32"/>
      <c r="R85" s="32"/>
      <c r="S85" s="28"/>
    </row>
    <row r="86" spans="2:19" ht="14.25" customHeight="1">
      <c r="B86" s="24"/>
      <c r="C86" s="28" t="s">
        <v>160</v>
      </c>
      <c r="D86" s="28" t="s">
        <v>160</v>
      </c>
      <c r="E86" s="28" t="s">
        <v>44</v>
      </c>
      <c r="F86" s="28" t="s">
        <v>161</v>
      </c>
      <c r="G86" s="29">
        <v>2.3301120000000002</v>
      </c>
      <c r="H86" s="30">
        <v>148</v>
      </c>
      <c r="I86" s="30">
        <v>157.44</v>
      </c>
      <c r="J86" s="31">
        <v>4860</v>
      </c>
      <c r="K86" s="30">
        <v>77</v>
      </c>
      <c r="L86" s="31">
        <v>11300</v>
      </c>
      <c r="M86" s="30">
        <v>60</v>
      </c>
      <c r="N86" s="32">
        <v>4.8</v>
      </c>
      <c r="O86" s="32"/>
      <c r="P86" s="32">
        <v>17.3</v>
      </c>
      <c r="Q86" s="32">
        <v>108</v>
      </c>
      <c r="R86" s="34">
        <v>12</v>
      </c>
      <c r="S86" s="28" t="s">
        <v>53</v>
      </c>
    </row>
    <row r="87" spans="2:19" ht="14.25" customHeight="1">
      <c r="B87" s="24"/>
      <c r="C87" s="28" t="s">
        <v>162</v>
      </c>
      <c r="D87" s="28" t="s">
        <v>162</v>
      </c>
      <c r="E87" s="28" t="s">
        <v>44</v>
      </c>
      <c r="F87" s="28" t="s">
        <v>163</v>
      </c>
      <c r="G87" s="29">
        <v>5.5218400000000001</v>
      </c>
      <c r="H87" s="30">
        <v>230</v>
      </c>
      <c r="I87" s="30">
        <v>240.08</v>
      </c>
      <c r="J87" s="31">
        <v>6110</v>
      </c>
      <c r="K87" s="30">
        <v>94</v>
      </c>
      <c r="L87" s="31">
        <v>21600</v>
      </c>
      <c r="M87" s="30">
        <v>115</v>
      </c>
      <c r="N87" s="32">
        <v>9.1999999999999993</v>
      </c>
      <c r="O87" s="32"/>
      <c r="P87" s="32">
        <v>21.3</v>
      </c>
      <c r="Q87" s="32">
        <v>170</v>
      </c>
      <c r="R87" s="32">
        <v>12</v>
      </c>
      <c r="S87" s="28" t="s">
        <v>53</v>
      </c>
    </row>
    <row r="88" spans="2:19" ht="14.25" customHeight="1">
      <c r="B88" s="24"/>
      <c r="C88" s="28" t="s">
        <v>164</v>
      </c>
      <c r="D88" s="28" t="s">
        <v>164</v>
      </c>
      <c r="E88" s="28" t="s">
        <v>44</v>
      </c>
      <c r="F88" s="28" t="s">
        <v>165</v>
      </c>
      <c r="G88" s="29">
        <v>9.802442000000001</v>
      </c>
      <c r="H88" s="30">
        <v>247</v>
      </c>
      <c r="I88" s="30">
        <v>396.86</v>
      </c>
      <c r="J88" s="31">
        <v>5670</v>
      </c>
      <c r="K88" s="30">
        <v>109</v>
      </c>
      <c r="L88" s="31">
        <v>27100</v>
      </c>
      <c r="M88" s="30">
        <v>139</v>
      </c>
      <c r="N88" s="32">
        <v>1.25</v>
      </c>
      <c r="O88" s="32"/>
      <c r="P88" s="32">
        <v>23.8</v>
      </c>
      <c r="Q88" s="32">
        <v>294</v>
      </c>
      <c r="R88" s="34">
        <v>12</v>
      </c>
      <c r="S88" s="28" t="s">
        <v>53</v>
      </c>
    </row>
    <row r="89" spans="2:19" ht="14.25" customHeight="1">
      <c r="B89" s="24"/>
      <c r="C89" s="28" t="s">
        <v>166</v>
      </c>
      <c r="D89" s="28" t="s">
        <v>166</v>
      </c>
      <c r="E89" s="28" t="s">
        <v>44</v>
      </c>
      <c r="F89" s="28" t="s">
        <v>167</v>
      </c>
      <c r="G89" s="29">
        <v>37.761800000000001</v>
      </c>
      <c r="H89" s="30">
        <v>698</v>
      </c>
      <c r="I89" s="30">
        <v>541</v>
      </c>
      <c r="J89" s="31">
        <v>10500</v>
      </c>
      <c r="K89" s="30">
        <v>145</v>
      </c>
      <c r="L89" s="31">
        <v>101530</v>
      </c>
      <c r="M89" s="30">
        <v>519</v>
      </c>
      <c r="N89" s="32" t="s">
        <v>168</v>
      </c>
      <c r="O89" s="32"/>
      <c r="P89" s="32"/>
      <c r="Q89" s="32"/>
      <c r="R89" s="32"/>
      <c r="S89" s="28"/>
    </row>
    <row r="90" spans="2:19" ht="14.25" customHeight="1">
      <c r="B90" s="24"/>
      <c r="C90" s="23"/>
      <c r="D90" s="23"/>
      <c r="E90" s="28"/>
      <c r="F90" s="28"/>
      <c r="G90" s="29"/>
      <c r="H90" s="30"/>
      <c r="I90" s="30"/>
      <c r="J90" s="31"/>
      <c r="K90" s="30"/>
      <c r="L90" s="31"/>
      <c r="M90" s="30"/>
      <c r="N90" s="32"/>
      <c r="O90" s="32"/>
      <c r="P90" s="32"/>
      <c r="Q90" s="32"/>
      <c r="R90" s="32"/>
      <c r="S90" s="28"/>
    </row>
    <row r="91" spans="2:19" ht="14.25" customHeight="1">
      <c r="B91" s="24"/>
      <c r="C91" s="23"/>
      <c r="D91" s="23"/>
      <c r="E91" s="28"/>
      <c r="F91" s="28"/>
      <c r="G91" s="29"/>
      <c r="H91" s="30"/>
      <c r="I91" s="30"/>
      <c r="J91" s="31"/>
      <c r="K91" s="30"/>
      <c r="L91" s="31"/>
      <c r="M91" s="30"/>
      <c r="N91" s="32"/>
      <c r="O91" s="32"/>
      <c r="P91" s="32"/>
      <c r="Q91" s="32"/>
      <c r="R91" s="32"/>
      <c r="S91" s="28"/>
    </row>
    <row r="92" spans="2:19" ht="14.25" customHeight="1">
      <c r="B92" s="24"/>
      <c r="C92" s="23"/>
      <c r="D92" s="23"/>
      <c r="E92" s="28"/>
      <c r="F92" s="28"/>
      <c r="G92" s="29"/>
      <c r="H92" s="30"/>
      <c r="I92" s="30"/>
      <c r="J92" s="31"/>
      <c r="K92" s="30"/>
      <c r="L92" s="31"/>
      <c r="M92" s="30"/>
      <c r="N92" s="32"/>
      <c r="O92" s="32"/>
      <c r="P92" s="32"/>
      <c r="Q92" s="32"/>
      <c r="R92" s="32"/>
      <c r="S92" s="28"/>
    </row>
    <row r="93" spans="2:19" ht="14.25" customHeight="1">
      <c r="B93" s="23" t="s">
        <v>169</v>
      </c>
      <c r="C93" s="28" t="s">
        <v>170</v>
      </c>
      <c r="D93" s="28" t="s">
        <v>170</v>
      </c>
      <c r="E93" s="28" t="s">
        <v>32</v>
      </c>
      <c r="F93" s="28" t="s">
        <v>171</v>
      </c>
      <c r="G93" s="29">
        <v>1.0165E-2</v>
      </c>
      <c r="H93" s="30">
        <v>10.7</v>
      </c>
      <c r="I93" s="30">
        <v>9.5</v>
      </c>
      <c r="J93" s="31">
        <v>1120</v>
      </c>
      <c r="K93" s="30">
        <v>15.5</v>
      </c>
      <c r="L93" s="31">
        <v>165</v>
      </c>
      <c r="M93" s="30">
        <v>0.8</v>
      </c>
      <c r="N93" s="32">
        <v>0.03</v>
      </c>
      <c r="O93" s="32"/>
      <c r="P93" s="32">
        <v>3.4</v>
      </c>
      <c r="Q93" s="32"/>
      <c r="R93" s="32">
        <v>6</v>
      </c>
      <c r="S93" s="28" t="s">
        <v>34</v>
      </c>
    </row>
    <row r="94" spans="2:19" ht="14.25" customHeight="1">
      <c r="B94" s="24"/>
      <c r="C94" s="28" t="s">
        <v>172</v>
      </c>
      <c r="D94" s="28" t="s">
        <v>172</v>
      </c>
      <c r="E94" s="28" t="s">
        <v>32</v>
      </c>
      <c r="F94" s="28" t="s">
        <v>173</v>
      </c>
      <c r="G94" s="29">
        <v>2.5504100000000005E-2</v>
      </c>
      <c r="H94" s="30">
        <v>11.3</v>
      </c>
      <c r="I94" s="30">
        <v>22.57</v>
      </c>
      <c r="J94" s="31">
        <v>1025</v>
      </c>
      <c r="K94" s="30">
        <v>19.3</v>
      </c>
      <c r="L94" s="31">
        <v>215</v>
      </c>
      <c r="M94" s="30">
        <v>1.1000000000000001</v>
      </c>
      <c r="N94" s="32">
        <v>0.04</v>
      </c>
      <c r="O94" s="32"/>
      <c r="P94" s="32">
        <v>5.6</v>
      </c>
      <c r="Q94" s="32"/>
      <c r="R94" s="32">
        <v>8</v>
      </c>
      <c r="S94" s="28" t="s">
        <v>34</v>
      </c>
    </row>
    <row r="95" spans="2:19" ht="14.25" customHeight="1">
      <c r="B95" s="24"/>
      <c r="C95" s="28" t="s">
        <v>174</v>
      </c>
      <c r="D95" s="28" t="s">
        <v>174</v>
      </c>
      <c r="E95" s="28" t="s">
        <v>32</v>
      </c>
      <c r="F95" s="28" t="s">
        <v>175</v>
      </c>
      <c r="G95" s="29">
        <v>4.5629999999999997E-2</v>
      </c>
      <c r="H95" s="30">
        <v>19.5</v>
      </c>
      <c r="I95" s="30">
        <v>23.4</v>
      </c>
      <c r="J95" s="31">
        <v>1475</v>
      </c>
      <c r="K95" s="30">
        <v>24.2</v>
      </c>
      <c r="L95" s="31">
        <v>472</v>
      </c>
      <c r="M95" s="30">
        <v>2.4</v>
      </c>
      <c r="N95" s="32">
        <v>0.09</v>
      </c>
      <c r="O95" s="32"/>
      <c r="P95" s="32">
        <v>7.6</v>
      </c>
      <c r="Q95" s="32"/>
      <c r="R95" s="32">
        <v>10</v>
      </c>
      <c r="S95" s="28" t="s">
        <v>34</v>
      </c>
    </row>
    <row r="96" spans="2:19" ht="14.25" customHeight="1">
      <c r="B96" s="24"/>
      <c r="C96" s="28" t="s">
        <v>176</v>
      </c>
      <c r="D96" s="28" t="s">
        <v>176</v>
      </c>
      <c r="E96" s="28" t="s">
        <v>32</v>
      </c>
      <c r="F96" s="28" t="s">
        <v>177</v>
      </c>
      <c r="G96" s="29">
        <v>0.12098300000000002</v>
      </c>
      <c r="H96" s="30">
        <v>33.700000000000003</v>
      </c>
      <c r="I96" s="30">
        <v>35.9</v>
      </c>
      <c r="J96" s="31">
        <v>2230</v>
      </c>
      <c r="K96" s="30">
        <v>29.5</v>
      </c>
      <c r="L96" s="31">
        <v>999</v>
      </c>
      <c r="M96" s="30">
        <v>5</v>
      </c>
      <c r="N96" s="32">
        <v>0.16</v>
      </c>
      <c r="O96" s="32"/>
      <c r="P96" s="32">
        <v>9.4499999999999993</v>
      </c>
      <c r="Q96" s="32"/>
      <c r="R96" s="32">
        <v>8</v>
      </c>
      <c r="S96" s="28" t="s">
        <v>34</v>
      </c>
    </row>
    <row r="97" spans="2:19" ht="14.25" customHeight="1">
      <c r="B97" s="24"/>
      <c r="C97" s="28" t="s">
        <v>178</v>
      </c>
      <c r="D97" s="28" t="s">
        <v>178</v>
      </c>
      <c r="E97" s="28" t="s">
        <v>32</v>
      </c>
      <c r="F97" s="28" t="s">
        <v>179</v>
      </c>
      <c r="G97" s="29">
        <v>0.49974499999999999</v>
      </c>
      <c r="H97" s="30">
        <v>78.7</v>
      </c>
      <c r="I97" s="30">
        <v>63.5</v>
      </c>
      <c r="J97" s="31">
        <v>3950</v>
      </c>
      <c r="K97" s="30">
        <v>41.1</v>
      </c>
      <c r="L97" s="31">
        <v>3230</v>
      </c>
      <c r="M97" s="30">
        <v>16</v>
      </c>
      <c r="N97" s="32">
        <v>0.5</v>
      </c>
      <c r="O97" s="32"/>
      <c r="P97" s="32">
        <v>12.45</v>
      </c>
      <c r="Q97" s="32"/>
      <c r="R97" s="32">
        <v>10</v>
      </c>
      <c r="S97" s="28" t="s">
        <v>34</v>
      </c>
    </row>
    <row r="98" spans="2:19" ht="14.25" customHeight="1">
      <c r="B98" s="24"/>
      <c r="C98" s="23"/>
      <c r="D98" s="23"/>
      <c r="E98" s="28"/>
      <c r="F98" s="28"/>
      <c r="G98" s="29"/>
      <c r="H98" s="30"/>
      <c r="I98" s="30"/>
      <c r="J98" s="31"/>
      <c r="K98" s="30"/>
      <c r="L98" s="31"/>
      <c r="M98" s="30"/>
      <c r="N98" s="32"/>
      <c r="O98" s="32"/>
      <c r="P98" s="32"/>
      <c r="Q98" s="32"/>
      <c r="R98" s="32"/>
      <c r="S98" s="28"/>
    </row>
    <row r="99" spans="2:19" ht="14.25" customHeight="1">
      <c r="B99" s="24"/>
      <c r="C99" s="23"/>
      <c r="D99" s="23"/>
      <c r="E99" s="28"/>
      <c r="F99" s="28"/>
      <c r="G99" s="29"/>
      <c r="H99" s="30"/>
      <c r="I99" s="30"/>
      <c r="J99" s="31"/>
      <c r="K99" s="30"/>
      <c r="L99" s="31"/>
      <c r="M99" s="30"/>
      <c r="N99" s="32"/>
      <c r="O99" s="32"/>
      <c r="P99" s="32"/>
      <c r="Q99" s="32"/>
      <c r="R99" s="32"/>
      <c r="S99" s="28"/>
    </row>
    <row r="100" spans="2:19" ht="14.25" customHeight="1">
      <c r="B100" s="24"/>
      <c r="C100" s="23"/>
      <c r="D100" s="23"/>
      <c r="E100" s="28"/>
      <c r="F100" s="28"/>
      <c r="G100" s="29"/>
      <c r="H100" s="30"/>
      <c r="I100" s="30"/>
      <c r="J100" s="31"/>
      <c r="K100" s="30"/>
      <c r="L100" s="31"/>
      <c r="M100" s="30"/>
      <c r="N100" s="32"/>
      <c r="O100" s="32"/>
      <c r="P100" s="32"/>
      <c r="Q100" s="32"/>
      <c r="R100" s="32"/>
      <c r="S100" s="28"/>
    </row>
    <row r="101" spans="2:19" ht="14.25" customHeight="1">
      <c r="B101" s="23" t="s">
        <v>180</v>
      </c>
      <c r="C101" s="28" t="s">
        <v>181</v>
      </c>
      <c r="D101" s="28" t="s">
        <v>181</v>
      </c>
      <c r="E101" s="28" t="s">
        <v>182</v>
      </c>
      <c r="F101" s="28" t="s">
        <v>183</v>
      </c>
      <c r="G101" s="29">
        <v>7.2209100000000014E-3</v>
      </c>
      <c r="H101" s="30">
        <v>9.39</v>
      </c>
      <c r="I101" s="30">
        <v>7.69</v>
      </c>
      <c r="J101" s="31">
        <v>1000</v>
      </c>
      <c r="K101" s="30">
        <v>17.8</v>
      </c>
      <c r="L101" s="31">
        <v>167</v>
      </c>
      <c r="M101" s="30">
        <v>1.1000000000000001</v>
      </c>
      <c r="N101" s="32">
        <v>7.1999999999999995E-2</v>
      </c>
      <c r="O101" s="32">
        <v>5.4</v>
      </c>
      <c r="P101" s="32"/>
      <c r="Q101" s="32"/>
      <c r="R101" s="32"/>
      <c r="S101" s="28"/>
    </row>
    <row r="102" spans="2:19" ht="14.25" customHeight="1">
      <c r="B102" s="24"/>
      <c r="C102" s="28" t="s">
        <v>184</v>
      </c>
      <c r="D102" s="28" t="s">
        <v>184</v>
      </c>
      <c r="E102" s="28" t="s">
        <v>182</v>
      </c>
      <c r="F102" s="28" t="s">
        <v>185</v>
      </c>
      <c r="G102" s="29">
        <v>2.8750000000000001E-2</v>
      </c>
      <c r="H102" s="30">
        <v>12.5</v>
      </c>
      <c r="I102" s="30">
        <v>23</v>
      </c>
      <c r="J102" s="31">
        <v>870</v>
      </c>
      <c r="K102" s="30">
        <v>30.6</v>
      </c>
      <c r="L102" s="31">
        <v>382</v>
      </c>
      <c r="M102" s="30">
        <v>2.1</v>
      </c>
      <c r="N102" s="32">
        <v>0.14000000000000001</v>
      </c>
      <c r="O102" s="32">
        <v>8.6</v>
      </c>
      <c r="P102" s="32">
        <v>6.9</v>
      </c>
      <c r="Q102" s="32"/>
      <c r="R102" s="32">
        <v>10</v>
      </c>
      <c r="S102" s="28" t="s">
        <v>34</v>
      </c>
    </row>
    <row r="103" spans="2:19" ht="14.25" customHeight="1">
      <c r="B103" s="24"/>
      <c r="C103" s="28" t="s">
        <v>186</v>
      </c>
      <c r="D103" s="28" t="s">
        <v>186</v>
      </c>
      <c r="E103" s="28" t="s">
        <v>182</v>
      </c>
      <c r="F103" s="28" t="s">
        <v>187</v>
      </c>
      <c r="G103" s="29">
        <v>4.2636E-2</v>
      </c>
      <c r="H103" s="30">
        <v>22.8</v>
      </c>
      <c r="I103" s="30">
        <v>18.7</v>
      </c>
      <c r="J103" s="31">
        <v>1150</v>
      </c>
      <c r="K103" s="30">
        <v>40.200000000000003</v>
      </c>
      <c r="L103" s="31">
        <v>917</v>
      </c>
      <c r="M103" s="30">
        <v>4.5</v>
      </c>
      <c r="N103" s="32">
        <v>0.35</v>
      </c>
      <c r="O103" s="32">
        <v>20</v>
      </c>
      <c r="P103" s="32"/>
      <c r="Q103" s="32"/>
      <c r="R103" s="32"/>
      <c r="S103" s="28"/>
    </row>
    <row r="104" spans="2:19" ht="14.25" customHeight="1">
      <c r="B104" s="24"/>
      <c r="C104" s="28" t="s">
        <v>188</v>
      </c>
      <c r="D104" s="28" t="s">
        <v>188</v>
      </c>
      <c r="E104" s="28" t="s">
        <v>182</v>
      </c>
      <c r="F104" s="28" t="s">
        <v>189</v>
      </c>
      <c r="G104" s="29">
        <v>0.123488</v>
      </c>
      <c r="H104" s="30">
        <v>22.7</v>
      </c>
      <c r="I104" s="30">
        <v>54.4</v>
      </c>
      <c r="J104" s="31">
        <v>940</v>
      </c>
      <c r="K104" s="30">
        <v>46.1</v>
      </c>
      <c r="L104" s="31">
        <v>10473</v>
      </c>
      <c r="M104" s="30">
        <v>5.3</v>
      </c>
      <c r="N104" s="32">
        <v>0.4</v>
      </c>
      <c r="O104" s="32">
        <v>27</v>
      </c>
      <c r="P104" s="32">
        <v>12.2</v>
      </c>
      <c r="Q104" s="32"/>
      <c r="R104" s="32">
        <v>12</v>
      </c>
      <c r="S104" s="28" t="s">
        <v>34</v>
      </c>
    </row>
    <row r="105" spans="2:19" ht="14.25" customHeight="1">
      <c r="B105" s="24"/>
      <c r="C105" s="28" t="s">
        <v>190</v>
      </c>
      <c r="D105" s="28" t="s">
        <v>190</v>
      </c>
      <c r="E105" s="28" t="s">
        <v>182</v>
      </c>
      <c r="F105" s="28" t="s">
        <v>191</v>
      </c>
      <c r="G105" s="29">
        <v>0.39672000000000002</v>
      </c>
      <c r="H105" s="30">
        <v>46.4</v>
      </c>
      <c r="I105" s="30">
        <v>85.5</v>
      </c>
      <c r="J105" s="31">
        <v>1560</v>
      </c>
      <c r="K105" s="30">
        <v>59.2</v>
      </c>
      <c r="L105" s="31">
        <v>2748</v>
      </c>
      <c r="M105" s="30">
        <v>13</v>
      </c>
      <c r="N105" s="32">
        <v>1.1100000000000001</v>
      </c>
      <c r="O105" s="32">
        <v>63</v>
      </c>
      <c r="P105" s="32">
        <v>14.7</v>
      </c>
      <c r="Q105" s="32"/>
      <c r="R105" s="32">
        <v>12</v>
      </c>
      <c r="S105" s="28" t="s">
        <v>34</v>
      </c>
    </row>
    <row r="106" spans="2:19" ht="14.25" customHeight="1">
      <c r="B106" s="24"/>
      <c r="C106" s="28" t="s">
        <v>192</v>
      </c>
      <c r="D106" s="28" t="s">
        <v>192</v>
      </c>
      <c r="E106" s="28" t="s">
        <v>182</v>
      </c>
      <c r="F106" s="28" t="s">
        <v>193</v>
      </c>
      <c r="G106" s="29">
        <v>0.206793</v>
      </c>
      <c r="H106" s="30">
        <v>33.299999999999997</v>
      </c>
      <c r="I106" s="30">
        <v>62.1</v>
      </c>
      <c r="J106" s="31">
        <v>1560</v>
      </c>
      <c r="K106" s="30">
        <v>46.2</v>
      </c>
      <c r="L106" s="31">
        <v>1539</v>
      </c>
      <c r="M106" s="30">
        <v>11</v>
      </c>
      <c r="N106" s="32">
        <v>0.65</v>
      </c>
      <c r="O106" s="32">
        <v>45</v>
      </c>
      <c r="P106" s="32">
        <v>14.7</v>
      </c>
      <c r="Q106" s="32"/>
      <c r="R106" s="32">
        <v>12</v>
      </c>
      <c r="S106" s="28" t="s">
        <v>34</v>
      </c>
    </row>
    <row r="107" spans="2:19" ht="14.25" customHeight="1">
      <c r="B107" s="24"/>
      <c r="C107" s="28" t="s">
        <v>194</v>
      </c>
      <c r="D107" s="28" t="s">
        <v>194</v>
      </c>
      <c r="E107" s="28" t="s">
        <v>182</v>
      </c>
      <c r="F107" s="28" t="s">
        <v>195</v>
      </c>
      <c r="G107" s="29">
        <v>0.58968000000000009</v>
      </c>
      <c r="H107" s="30">
        <v>54.6</v>
      </c>
      <c r="I107" s="30">
        <v>108</v>
      </c>
      <c r="J107" s="31">
        <v>1540</v>
      </c>
      <c r="K107" s="30">
        <v>73.099999999999994</v>
      </c>
      <c r="L107" s="31">
        <v>3995</v>
      </c>
      <c r="M107" s="30">
        <v>18</v>
      </c>
      <c r="N107" s="32">
        <v>1.56</v>
      </c>
      <c r="O107" s="32">
        <v>80</v>
      </c>
      <c r="P107" s="32">
        <v>20.5</v>
      </c>
      <c r="Q107" s="32"/>
      <c r="R107" s="32">
        <v>12</v>
      </c>
      <c r="S107" s="28" t="s">
        <v>34</v>
      </c>
    </row>
    <row r="108" spans="2:19" ht="14.25" customHeight="1">
      <c r="B108" s="24"/>
      <c r="C108" s="28" t="s">
        <v>196</v>
      </c>
      <c r="D108" s="28" t="s">
        <v>196</v>
      </c>
      <c r="E108" s="28" t="s">
        <v>182</v>
      </c>
      <c r="F108" s="28" t="s">
        <v>197</v>
      </c>
      <c r="G108" s="29">
        <v>0.7137</v>
      </c>
      <c r="H108" s="30">
        <v>61</v>
      </c>
      <c r="I108" s="30">
        <v>117</v>
      </c>
      <c r="J108" s="31">
        <v>1570</v>
      </c>
      <c r="K108" s="30">
        <v>81.599999999999994</v>
      </c>
      <c r="L108" s="31">
        <v>5035</v>
      </c>
      <c r="M108" s="30">
        <v>23</v>
      </c>
      <c r="N108" s="32">
        <v>2.0299999999999998</v>
      </c>
      <c r="O108" s="32">
        <v>85</v>
      </c>
      <c r="P108" s="32">
        <v>22.8</v>
      </c>
      <c r="Q108" s="32"/>
      <c r="R108" s="32">
        <v>12</v>
      </c>
      <c r="S108" s="28" t="s">
        <v>34</v>
      </c>
    </row>
    <row r="109" spans="2:19" ht="14.25" customHeight="1">
      <c r="B109" s="24"/>
      <c r="C109" s="23"/>
      <c r="D109" s="23"/>
      <c r="E109" s="28"/>
      <c r="F109" s="28"/>
      <c r="G109" s="29"/>
      <c r="H109" s="30"/>
      <c r="I109" s="30"/>
      <c r="J109" s="31"/>
      <c r="K109" s="30"/>
      <c r="L109" s="31"/>
      <c r="M109" s="30"/>
      <c r="N109" s="32"/>
      <c r="O109" s="32"/>
      <c r="P109" s="32"/>
      <c r="Q109" s="32"/>
      <c r="R109" s="32"/>
      <c r="S109" s="28"/>
    </row>
    <row r="110" spans="2:19" ht="14.25" customHeight="1">
      <c r="B110" s="24"/>
      <c r="C110" s="23"/>
      <c r="D110" s="23"/>
      <c r="E110" s="28"/>
      <c r="F110" s="28"/>
      <c r="G110" s="29"/>
      <c r="H110" s="30"/>
      <c r="I110" s="30"/>
      <c r="J110" s="31"/>
      <c r="K110" s="30"/>
      <c r="L110" s="31"/>
      <c r="M110" s="30"/>
      <c r="N110" s="32"/>
      <c r="O110" s="32"/>
      <c r="P110" s="32"/>
      <c r="Q110" s="32"/>
      <c r="R110" s="32"/>
      <c r="S110" s="28"/>
    </row>
    <row r="111" spans="2:19" ht="14.25" customHeight="1">
      <c r="B111" s="24"/>
      <c r="C111" s="23"/>
      <c r="D111" s="23"/>
      <c r="E111" s="28"/>
      <c r="F111" s="28"/>
      <c r="G111" s="29"/>
      <c r="H111" s="30"/>
      <c r="I111" s="30"/>
      <c r="J111" s="31"/>
      <c r="K111" s="30"/>
      <c r="L111" s="31"/>
      <c r="M111" s="30"/>
      <c r="N111" s="32"/>
      <c r="O111" s="32"/>
      <c r="P111" s="32"/>
      <c r="Q111" s="32"/>
      <c r="R111" s="32"/>
      <c r="S111" s="28"/>
    </row>
    <row r="112" spans="2:19" ht="14.25" customHeight="1">
      <c r="B112" s="23" t="s">
        <v>198</v>
      </c>
      <c r="C112" s="28" t="s">
        <v>199</v>
      </c>
      <c r="D112" s="28" t="s">
        <v>199</v>
      </c>
      <c r="E112" s="28" t="s">
        <v>200</v>
      </c>
      <c r="F112" s="28" t="s">
        <v>201</v>
      </c>
      <c r="G112" s="29">
        <v>5.9367999999999999E-3</v>
      </c>
      <c r="H112" s="30">
        <v>8.1999999999999993</v>
      </c>
      <c r="I112" s="30">
        <v>7.24</v>
      </c>
      <c r="J112" s="31">
        <v>1270</v>
      </c>
      <c r="K112" s="30">
        <v>13.7</v>
      </c>
      <c r="L112" s="31">
        <v>111.8</v>
      </c>
      <c r="M112" s="30">
        <v>0.55000000000000004</v>
      </c>
      <c r="N112" s="32"/>
      <c r="O112" s="32"/>
      <c r="P112" s="32"/>
      <c r="Q112" s="32"/>
      <c r="R112" s="32"/>
      <c r="S112" s="28"/>
    </row>
    <row r="113" spans="2:19" ht="14.25" customHeight="1">
      <c r="B113" s="24"/>
      <c r="C113" s="28" t="s">
        <v>202</v>
      </c>
      <c r="D113" s="28" t="s">
        <v>202</v>
      </c>
      <c r="E113" s="28" t="s">
        <v>182</v>
      </c>
      <c r="F113" s="28" t="s">
        <v>203</v>
      </c>
      <c r="G113" s="29">
        <v>5.4208000000000008E-3</v>
      </c>
      <c r="H113" s="30">
        <v>8.4700000000000006</v>
      </c>
      <c r="I113" s="30">
        <v>6.4</v>
      </c>
      <c r="J113" s="31">
        <v>610</v>
      </c>
      <c r="K113" s="30">
        <v>14.2</v>
      </c>
      <c r="L113" s="31">
        <v>120</v>
      </c>
      <c r="M113" s="30">
        <v>0.6</v>
      </c>
      <c r="N113" s="32"/>
      <c r="O113" s="32">
        <v>3.9</v>
      </c>
      <c r="P113" s="32">
        <v>2.2000000000000002</v>
      </c>
      <c r="Q113" s="32"/>
      <c r="R113" s="32">
        <v>8</v>
      </c>
      <c r="S113" s="28" t="s">
        <v>53</v>
      </c>
    </row>
    <row r="114" spans="2:19" ht="14.25" customHeight="1">
      <c r="B114" s="24"/>
      <c r="C114" s="28" t="s">
        <v>204</v>
      </c>
      <c r="D114" s="28" t="s">
        <v>204</v>
      </c>
      <c r="E114" s="28" t="s">
        <v>182</v>
      </c>
      <c r="F114" s="28" t="s">
        <v>205</v>
      </c>
      <c r="G114" s="29">
        <v>7.8039000000000008E-3</v>
      </c>
      <c r="H114" s="30">
        <v>11.7</v>
      </c>
      <c r="I114" s="30">
        <v>6.67</v>
      </c>
      <c r="J114" s="31">
        <v>870</v>
      </c>
      <c r="K114" s="30">
        <v>14</v>
      </c>
      <c r="L114" s="31">
        <v>174</v>
      </c>
      <c r="M114" s="30">
        <v>0.85</v>
      </c>
      <c r="N114" s="32"/>
      <c r="O114" s="35">
        <v>5</v>
      </c>
      <c r="P114" s="32">
        <v>1.9</v>
      </c>
      <c r="Q114" s="32"/>
      <c r="R114" s="32">
        <v>10</v>
      </c>
      <c r="S114" s="28" t="s">
        <v>53</v>
      </c>
    </row>
    <row r="115" spans="2:19" ht="14.25" customHeight="1">
      <c r="B115" s="24"/>
      <c r="C115" s="28" t="s">
        <v>206</v>
      </c>
      <c r="D115" s="28" t="s">
        <v>206</v>
      </c>
      <c r="E115" s="28" t="s">
        <v>182</v>
      </c>
      <c r="F115" s="28" t="s">
        <v>207</v>
      </c>
      <c r="G115" s="29">
        <v>1.9008000000000004E-2</v>
      </c>
      <c r="H115" s="30">
        <v>17.600000000000001</v>
      </c>
      <c r="I115" s="30">
        <v>10.8</v>
      </c>
      <c r="J115" s="31">
        <v>1280</v>
      </c>
      <c r="K115" s="30">
        <v>19</v>
      </c>
      <c r="L115" s="31">
        <v>333</v>
      </c>
      <c r="M115" s="30">
        <v>1</v>
      </c>
      <c r="N115" s="32"/>
      <c r="O115" s="32">
        <v>9.5</v>
      </c>
      <c r="P115" s="32">
        <v>1.9</v>
      </c>
      <c r="Q115" s="32"/>
      <c r="R115" s="32">
        <v>10</v>
      </c>
      <c r="S115" s="28"/>
    </row>
    <row r="116" spans="2:19" ht="14.25" customHeight="1">
      <c r="B116" s="24"/>
      <c r="C116" s="28" t="s">
        <v>208</v>
      </c>
      <c r="D116" s="28" t="s">
        <v>208</v>
      </c>
      <c r="E116" s="28" t="s">
        <v>200</v>
      </c>
      <c r="F116" s="28" t="s">
        <v>209</v>
      </c>
      <c r="G116" s="29">
        <v>0.19851840000000004</v>
      </c>
      <c r="H116" s="30">
        <v>28.8</v>
      </c>
      <c r="I116" s="30">
        <v>68.930000000000007</v>
      </c>
      <c r="J116" s="31">
        <v>1140</v>
      </c>
      <c r="K116" s="30">
        <v>54.9</v>
      </c>
      <c r="L116" s="31">
        <v>1584.1</v>
      </c>
      <c r="M116" s="30">
        <v>1.8</v>
      </c>
      <c r="N116" s="32"/>
      <c r="O116" s="32"/>
      <c r="P116" s="32"/>
      <c r="Q116" s="32"/>
      <c r="R116" s="32"/>
      <c r="S116" s="28"/>
    </row>
    <row r="117" spans="2:19" ht="14.25" customHeight="1">
      <c r="B117" s="24"/>
      <c r="C117" s="28" t="s">
        <v>210</v>
      </c>
      <c r="D117" s="28" t="s">
        <v>210</v>
      </c>
      <c r="E117" s="28" t="s">
        <v>44</v>
      </c>
      <c r="F117" s="28" t="s">
        <v>211</v>
      </c>
      <c r="G117" s="29">
        <v>0.35571200000000003</v>
      </c>
      <c r="H117" s="30">
        <v>44.8</v>
      </c>
      <c r="I117" s="30">
        <v>79.400000000000006</v>
      </c>
      <c r="J117" s="31">
        <v>1920</v>
      </c>
      <c r="K117" s="30">
        <v>48.2</v>
      </c>
      <c r="L117" s="31">
        <v>2160</v>
      </c>
      <c r="M117" s="30">
        <v>11</v>
      </c>
      <c r="N117" s="32">
        <v>0.98</v>
      </c>
      <c r="O117" s="32">
        <v>87</v>
      </c>
      <c r="P117" s="32">
        <v>10.6</v>
      </c>
      <c r="Q117" s="32">
        <v>48.4</v>
      </c>
      <c r="R117" s="32">
        <v>10</v>
      </c>
      <c r="S117" s="28" t="s">
        <v>53</v>
      </c>
    </row>
    <row r="118" spans="2:19" ht="14.25" customHeight="1">
      <c r="B118" s="24"/>
      <c r="C118" s="28" t="s">
        <v>212</v>
      </c>
      <c r="D118" s="28" t="s">
        <v>212</v>
      </c>
      <c r="E118" s="28" t="s">
        <v>200</v>
      </c>
      <c r="F118" s="28" t="s">
        <v>213</v>
      </c>
      <c r="G118" s="29">
        <v>7.3444800000000005E-2</v>
      </c>
      <c r="H118" s="30">
        <v>52.8</v>
      </c>
      <c r="I118" s="30">
        <v>13.91</v>
      </c>
      <c r="J118" s="31">
        <v>4330</v>
      </c>
      <c r="K118" s="30">
        <v>27.2</v>
      </c>
      <c r="L118" s="31">
        <v>1435.7</v>
      </c>
      <c r="M118" s="30">
        <v>8.1</v>
      </c>
      <c r="N118" s="32"/>
      <c r="O118" s="32"/>
      <c r="P118" s="32"/>
      <c r="Q118" s="32"/>
      <c r="R118" s="32"/>
      <c r="S118" s="28"/>
    </row>
    <row r="119" spans="2:19" ht="14.25" customHeight="1">
      <c r="B119" s="24"/>
      <c r="C119" s="28" t="s">
        <v>214</v>
      </c>
      <c r="D119" s="28" t="s">
        <v>214</v>
      </c>
      <c r="E119" s="28" t="s">
        <v>44</v>
      </c>
      <c r="F119" s="28" t="s">
        <v>215</v>
      </c>
      <c r="G119" s="29">
        <v>0.93593999999999999</v>
      </c>
      <c r="H119" s="30">
        <v>82.1</v>
      </c>
      <c r="I119" s="30">
        <v>114</v>
      </c>
      <c r="J119" s="31">
        <v>2870</v>
      </c>
      <c r="K119" s="30">
        <v>64</v>
      </c>
      <c r="L119" s="31">
        <v>5257</v>
      </c>
      <c r="M119" s="30">
        <v>28</v>
      </c>
      <c r="N119" s="32">
        <v>2.2999999999999998</v>
      </c>
      <c r="O119" s="32">
        <v>203</v>
      </c>
      <c r="P119" s="32">
        <v>16.100000000000001</v>
      </c>
      <c r="Q119" s="32">
        <v>71.8</v>
      </c>
      <c r="R119" s="32" t="s">
        <v>216</v>
      </c>
      <c r="S119" s="28" t="s">
        <v>217</v>
      </c>
    </row>
    <row r="120" spans="2:19" ht="14.25" customHeight="1">
      <c r="B120" s="24"/>
      <c r="C120" s="28" t="s">
        <v>218</v>
      </c>
      <c r="D120" s="28" t="s">
        <v>218</v>
      </c>
      <c r="E120" s="28" t="s">
        <v>44</v>
      </c>
      <c r="F120" s="28" t="s">
        <v>219</v>
      </c>
      <c r="G120" s="29">
        <v>1.2047200000000002</v>
      </c>
      <c r="H120" s="30">
        <v>81.400000000000006</v>
      </c>
      <c r="I120" s="30">
        <v>148</v>
      </c>
      <c r="J120" s="31">
        <v>2520</v>
      </c>
      <c r="K120" s="30">
        <v>75.5</v>
      </c>
      <c r="L120" s="31">
        <v>6143</v>
      </c>
      <c r="M120" s="30">
        <v>33</v>
      </c>
      <c r="N120" s="32">
        <v>2.7</v>
      </c>
      <c r="O120" s="32">
        <v>228</v>
      </c>
      <c r="P120" s="32">
        <v>21.8</v>
      </c>
      <c r="Q120" s="32">
        <v>96.3</v>
      </c>
      <c r="R120" s="32" t="s">
        <v>216</v>
      </c>
      <c r="S120" s="28" t="s">
        <v>217</v>
      </c>
    </row>
    <row r="121" spans="2:19" ht="14.25" customHeight="1">
      <c r="B121" s="24"/>
      <c r="C121" s="28" t="s">
        <v>220</v>
      </c>
      <c r="D121" s="28" t="s">
        <v>220</v>
      </c>
      <c r="E121" s="28" t="s">
        <v>200</v>
      </c>
      <c r="F121" s="28" t="s">
        <v>221</v>
      </c>
      <c r="G121" s="29">
        <v>0.85462500000000008</v>
      </c>
      <c r="H121" s="30">
        <v>107.5</v>
      </c>
      <c r="I121" s="30">
        <v>79.5</v>
      </c>
      <c r="J121" s="31">
        <v>4500</v>
      </c>
      <c r="K121" s="30">
        <v>45</v>
      </c>
      <c r="L121" s="31">
        <v>4833.8</v>
      </c>
      <c r="M121" s="30">
        <v>25</v>
      </c>
      <c r="N121" s="32"/>
      <c r="O121" s="32"/>
      <c r="P121" s="32"/>
      <c r="Q121" s="32"/>
      <c r="R121" s="32"/>
      <c r="S121" s="28"/>
    </row>
    <row r="122" spans="2:19" ht="14.25" customHeight="1">
      <c r="B122" s="24"/>
      <c r="C122" s="28" t="s">
        <v>222</v>
      </c>
      <c r="D122" s="28" t="s">
        <v>222</v>
      </c>
      <c r="E122" s="28" t="s">
        <v>200</v>
      </c>
      <c r="F122" s="28" t="s">
        <v>223</v>
      </c>
      <c r="G122" s="29">
        <v>1.3568849999999999</v>
      </c>
      <c r="H122" s="30">
        <v>85.5</v>
      </c>
      <c r="I122" s="30">
        <v>158.69999999999999</v>
      </c>
      <c r="J122" s="31">
        <v>2160</v>
      </c>
      <c r="K122" s="30">
        <v>75.400000000000006</v>
      </c>
      <c r="L122" s="31">
        <v>6673</v>
      </c>
      <c r="M122" s="30">
        <v>32</v>
      </c>
      <c r="N122" s="32"/>
      <c r="O122" s="32"/>
      <c r="P122" s="32"/>
      <c r="Q122" s="32"/>
      <c r="R122" s="32"/>
      <c r="S122" s="28"/>
    </row>
    <row r="123" spans="2:19" ht="14.25" customHeight="1">
      <c r="B123" s="24"/>
      <c r="C123" s="28" t="s">
        <v>224</v>
      </c>
      <c r="D123" s="28" t="s">
        <v>224</v>
      </c>
      <c r="E123" s="28" t="s">
        <v>200</v>
      </c>
      <c r="F123" s="28" t="s">
        <v>225</v>
      </c>
      <c r="G123" s="29">
        <v>1.6178399999999999</v>
      </c>
      <c r="H123" s="30">
        <v>107</v>
      </c>
      <c r="I123" s="30">
        <v>151.19999999999999</v>
      </c>
      <c r="J123" s="31">
        <v>3000</v>
      </c>
      <c r="K123" s="30">
        <v>72.8</v>
      </c>
      <c r="L123" s="31">
        <v>7790</v>
      </c>
      <c r="M123" s="30">
        <v>51</v>
      </c>
      <c r="N123" s="32"/>
      <c r="O123" s="32"/>
      <c r="P123" s="32">
        <v>26.4</v>
      </c>
      <c r="Q123" s="32">
        <v>152.69999999999999</v>
      </c>
      <c r="R123" s="32">
        <v>12</v>
      </c>
      <c r="S123" s="28" t="s">
        <v>53</v>
      </c>
    </row>
    <row r="124" spans="2:19" ht="14.25" customHeight="1">
      <c r="B124" s="24"/>
      <c r="C124" s="28" t="s">
        <v>226</v>
      </c>
      <c r="D124" s="28" t="s">
        <v>226</v>
      </c>
      <c r="E124" s="28" t="s">
        <v>44</v>
      </c>
      <c r="F124" s="28" t="s">
        <v>227</v>
      </c>
      <c r="G124" s="29">
        <v>2.3326000000000002</v>
      </c>
      <c r="H124" s="30">
        <v>107</v>
      </c>
      <c r="I124" s="30">
        <v>218</v>
      </c>
      <c r="J124" s="31">
        <v>2770</v>
      </c>
      <c r="K124" s="30">
        <v>90.8</v>
      </c>
      <c r="L124" s="31">
        <v>9682</v>
      </c>
      <c r="M124" s="30">
        <v>52</v>
      </c>
      <c r="N124" s="32">
        <v>4.2</v>
      </c>
      <c r="O124" s="32">
        <v>325</v>
      </c>
      <c r="P124" s="32">
        <v>26.1</v>
      </c>
      <c r="Q124" s="32">
        <v>154.4</v>
      </c>
      <c r="R124" s="32" t="s">
        <v>228</v>
      </c>
      <c r="S124" s="28" t="s">
        <v>53</v>
      </c>
    </row>
    <row r="125" spans="2:19" ht="14.25" customHeight="1">
      <c r="B125" s="24"/>
      <c r="C125" s="28" t="s">
        <v>229</v>
      </c>
      <c r="D125" s="28" t="s">
        <v>229</v>
      </c>
      <c r="E125" s="28" t="s">
        <v>230</v>
      </c>
      <c r="F125" s="28" t="s">
        <v>231</v>
      </c>
      <c r="G125" s="29">
        <v>2.7712500000000002</v>
      </c>
      <c r="H125" s="30">
        <v>125</v>
      </c>
      <c r="I125" s="30">
        <v>221.7</v>
      </c>
      <c r="J125" s="31">
        <v>3850</v>
      </c>
      <c r="K125" s="30">
        <v>84</v>
      </c>
      <c r="L125" s="31">
        <v>10530</v>
      </c>
      <c r="M125" s="30">
        <v>56</v>
      </c>
      <c r="N125" s="32"/>
      <c r="O125" s="32"/>
      <c r="P125" s="32">
        <v>28.2</v>
      </c>
      <c r="Q125" s="32"/>
      <c r="R125" s="32">
        <v>12</v>
      </c>
      <c r="S125" s="28" t="s">
        <v>53</v>
      </c>
    </row>
    <row r="126" spans="2:19" ht="14.25" customHeight="1">
      <c r="B126" s="24"/>
      <c r="C126" s="28" t="s">
        <v>232</v>
      </c>
      <c r="D126" s="28" t="s">
        <v>232</v>
      </c>
      <c r="E126" s="28" t="s">
        <v>230</v>
      </c>
      <c r="F126" s="28" t="s">
        <v>233</v>
      </c>
      <c r="G126" s="29">
        <v>3.4975000000000001</v>
      </c>
      <c r="H126" s="30">
        <v>125</v>
      </c>
      <c r="I126" s="30">
        <v>279.8</v>
      </c>
      <c r="J126" s="31">
        <v>3200</v>
      </c>
      <c r="K126" s="30">
        <v>96</v>
      </c>
      <c r="L126" s="31">
        <v>12000</v>
      </c>
      <c r="M126" s="30">
        <v>57.1</v>
      </c>
      <c r="N126" s="32"/>
      <c r="O126" s="32"/>
      <c r="P126" s="32">
        <v>28.4</v>
      </c>
      <c r="Q126" s="32"/>
      <c r="R126" s="32">
        <v>16</v>
      </c>
      <c r="S126" s="28" t="s">
        <v>53</v>
      </c>
    </row>
    <row r="127" spans="2:19" ht="14.25" customHeight="1">
      <c r="B127" s="24"/>
      <c r="C127" s="28" t="s">
        <v>234</v>
      </c>
      <c r="D127" s="28" t="s">
        <v>234</v>
      </c>
      <c r="E127" s="28" t="s">
        <v>44</v>
      </c>
      <c r="F127" s="28" t="s">
        <v>235</v>
      </c>
      <c r="G127" s="29">
        <v>3.7101000000000002</v>
      </c>
      <c r="H127" s="30">
        <v>149</v>
      </c>
      <c r="I127" s="30">
        <v>249</v>
      </c>
      <c r="J127" s="31">
        <v>3620</v>
      </c>
      <c r="K127" s="30">
        <v>98</v>
      </c>
      <c r="L127" s="31">
        <v>14587</v>
      </c>
      <c r="M127" s="30">
        <v>78</v>
      </c>
      <c r="N127" s="32">
        <v>6.3</v>
      </c>
      <c r="O127" s="32">
        <v>421</v>
      </c>
      <c r="P127" s="32">
        <v>27.8</v>
      </c>
      <c r="Q127" s="32">
        <v>178.8</v>
      </c>
      <c r="R127" s="32">
        <v>16</v>
      </c>
      <c r="S127" s="28" t="s">
        <v>53</v>
      </c>
    </row>
    <row r="128" spans="2:19" ht="14.25" customHeight="1">
      <c r="B128" s="24"/>
      <c r="C128" s="28" t="s">
        <v>236</v>
      </c>
      <c r="D128" s="28" t="s">
        <v>236</v>
      </c>
      <c r="E128" s="28" t="s">
        <v>44</v>
      </c>
      <c r="F128" s="28" t="s">
        <v>237</v>
      </c>
      <c r="G128" s="29">
        <v>4.3262</v>
      </c>
      <c r="H128" s="30">
        <v>194</v>
      </c>
      <c r="I128" s="30">
        <v>223</v>
      </c>
      <c r="J128" s="31">
        <v>4690</v>
      </c>
      <c r="K128" s="30">
        <v>98.8</v>
      </c>
      <c r="L128" s="31">
        <v>19163</v>
      </c>
      <c r="M128" s="30">
        <v>102</v>
      </c>
      <c r="N128" s="32">
        <v>8.6</v>
      </c>
      <c r="O128" s="32">
        <v>433</v>
      </c>
      <c r="P128" s="32">
        <v>27.8</v>
      </c>
      <c r="Q128" s="32">
        <v>153.30000000000001</v>
      </c>
      <c r="R128" s="32">
        <v>16</v>
      </c>
      <c r="S128" s="28" t="s">
        <v>53</v>
      </c>
    </row>
    <row r="129" spans="2:19" ht="14.25" customHeight="1">
      <c r="B129" s="24"/>
      <c r="C129" s="28" t="s">
        <v>238</v>
      </c>
      <c r="D129" s="28" t="s">
        <v>238</v>
      </c>
      <c r="E129" s="28" t="s">
        <v>44</v>
      </c>
      <c r="F129" s="28" t="s">
        <v>239</v>
      </c>
      <c r="G129" s="29">
        <v>5.4960000000000004</v>
      </c>
      <c r="H129" s="30">
        <v>240</v>
      </c>
      <c r="I129" s="30">
        <v>229</v>
      </c>
      <c r="J129" s="31">
        <v>5340</v>
      </c>
      <c r="K129" s="30">
        <v>98.6</v>
      </c>
      <c r="L129" s="31">
        <v>23635</v>
      </c>
      <c r="M129" s="30">
        <v>116</v>
      </c>
      <c r="N129" s="32">
        <v>10.7</v>
      </c>
      <c r="O129" s="32">
        <v>509</v>
      </c>
      <c r="P129" s="32">
        <v>27.3</v>
      </c>
      <c r="Q129" s="32">
        <v>159.69999999999999</v>
      </c>
      <c r="R129" s="32">
        <v>16</v>
      </c>
      <c r="S129" s="28" t="s">
        <v>34</v>
      </c>
    </row>
    <row r="130" spans="2:19" ht="14.25" customHeight="1">
      <c r="B130" s="24"/>
      <c r="C130" s="28" t="s">
        <v>240</v>
      </c>
      <c r="D130" s="28" t="s">
        <v>240</v>
      </c>
      <c r="E130" s="28" t="s">
        <v>241</v>
      </c>
      <c r="F130" s="28" t="s">
        <v>242</v>
      </c>
      <c r="G130" s="29">
        <v>9.0152999999999999</v>
      </c>
      <c r="H130" s="30">
        <v>243</v>
      </c>
      <c r="I130" s="30">
        <v>371</v>
      </c>
      <c r="J130" s="31">
        <v>3500</v>
      </c>
      <c r="K130" s="30">
        <v>118</v>
      </c>
      <c r="L130" s="31">
        <v>28700</v>
      </c>
      <c r="M130" s="30">
        <v>146</v>
      </c>
      <c r="N130" s="32"/>
      <c r="O130" s="32"/>
      <c r="P130" s="32"/>
      <c r="Q130" s="32">
        <v>167.8</v>
      </c>
      <c r="R130" s="32"/>
      <c r="S130" s="28"/>
    </row>
    <row r="131" spans="2:19" ht="14.25" customHeight="1">
      <c r="B131" s="24"/>
      <c r="C131" s="28" t="s">
        <v>243</v>
      </c>
      <c r="D131" s="28" t="s">
        <v>243</v>
      </c>
      <c r="E131" s="28" t="s">
        <v>32</v>
      </c>
      <c r="F131" s="28" t="s">
        <v>244</v>
      </c>
      <c r="G131" s="29">
        <v>3.15</v>
      </c>
      <c r="H131" s="30">
        <v>250</v>
      </c>
      <c r="I131" s="30">
        <v>126</v>
      </c>
      <c r="J131" s="31">
        <v>6100</v>
      </c>
      <c r="K131" s="30">
        <v>91.8</v>
      </c>
      <c r="L131" s="31">
        <v>23000</v>
      </c>
      <c r="M131" s="30">
        <v>61</v>
      </c>
      <c r="N131" s="32">
        <v>3.8</v>
      </c>
      <c r="O131" s="32"/>
      <c r="P131" s="32">
        <v>31</v>
      </c>
      <c r="Q131" s="32"/>
      <c r="R131" s="32">
        <v>18</v>
      </c>
      <c r="S131" s="28" t="s">
        <v>53</v>
      </c>
    </row>
    <row r="132" spans="2:19" ht="14.25" customHeight="1">
      <c r="B132" s="24"/>
      <c r="C132" s="23"/>
      <c r="D132" s="23"/>
      <c r="E132" s="28"/>
      <c r="F132" s="28"/>
      <c r="G132" s="29"/>
      <c r="H132" s="30"/>
      <c r="I132" s="30"/>
      <c r="J132" s="31"/>
      <c r="K132" s="30"/>
      <c r="L132" s="31"/>
      <c r="M132" s="30"/>
      <c r="N132" s="32"/>
      <c r="O132" s="32"/>
      <c r="P132" s="32"/>
      <c r="Q132" s="32"/>
      <c r="R132" s="32"/>
      <c r="S132" s="28"/>
    </row>
    <row r="133" spans="2:19" ht="14.25" customHeight="1">
      <c r="B133" s="24"/>
      <c r="C133" s="23"/>
      <c r="D133" s="23"/>
      <c r="E133" s="28"/>
      <c r="F133" s="28"/>
      <c r="G133" s="29"/>
      <c r="H133" s="30"/>
      <c r="I133" s="30"/>
      <c r="J133" s="31"/>
      <c r="K133" s="30"/>
      <c r="L133" s="31"/>
      <c r="M133" s="30"/>
      <c r="N133" s="32"/>
      <c r="O133" s="32"/>
      <c r="P133" s="32"/>
      <c r="Q133" s="32"/>
      <c r="R133" s="32"/>
      <c r="S133" s="28"/>
    </row>
    <row r="134" spans="2:19" ht="14.25" customHeight="1">
      <c r="B134" s="24"/>
      <c r="C134" s="23"/>
      <c r="D134" s="23"/>
      <c r="E134" s="28"/>
      <c r="F134" s="28"/>
      <c r="G134" s="29"/>
      <c r="H134" s="30"/>
      <c r="I134" s="30"/>
      <c r="J134" s="31"/>
      <c r="K134" s="30"/>
      <c r="L134" s="31"/>
      <c r="M134" s="30"/>
      <c r="N134" s="32"/>
      <c r="O134" s="32"/>
      <c r="P134" s="32"/>
      <c r="Q134" s="32"/>
      <c r="R134" s="32"/>
      <c r="S134" s="28"/>
    </row>
    <row r="135" spans="2:19" ht="14.25" customHeight="1">
      <c r="B135" s="23" t="s">
        <v>245</v>
      </c>
      <c r="C135" s="28" t="s">
        <v>246</v>
      </c>
      <c r="D135" s="28" t="s">
        <v>246</v>
      </c>
      <c r="E135" s="28" t="s">
        <v>44</v>
      </c>
      <c r="F135" s="28" t="s">
        <v>247</v>
      </c>
      <c r="G135" s="29">
        <v>0.29116499999999995</v>
      </c>
      <c r="H135" s="30">
        <v>41.3</v>
      </c>
      <c r="I135" s="30">
        <v>70.5</v>
      </c>
      <c r="J135" s="31">
        <v>1720</v>
      </c>
      <c r="K135" s="30">
        <v>54.6</v>
      </c>
      <c r="L135" s="31">
        <v>22530</v>
      </c>
      <c r="M135" s="30">
        <v>13.3</v>
      </c>
      <c r="N135" s="32">
        <v>1.1000000000000001</v>
      </c>
      <c r="O135" s="32">
        <v>79</v>
      </c>
      <c r="P135" s="32"/>
      <c r="Q135" s="32">
        <v>37.4</v>
      </c>
      <c r="R135" s="32"/>
      <c r="S135" s="28"/>
    </row>
    <row r="136" spans="2:19" ht="14.25" customHeight="1">
      <c r="B136" s="24"/>
      <c r="C136" s="28" t="s">
        <v>248</v>
      </c>
      <c r="D136" s="28" t="s">
        <v>248</v>
      </c>
      <c r="E136" s="28" t="s">
        <v>44</v>
      </c>
      <c r="F136" s="28" t="s">
        <v>249</v>
      </c>
      <c r="G136" s="29">
        <v>0.57425999999999999</v>
      </c>
      <c r="H136" s="30">
        <v>56.3</v>
      </c>
      <c r="I136" s="30">
        <v>102</v>
      </c>
      <c r="J136" s="31">
        <v>2125</v>
      </c>
      <c r="K136" s="30">
        <v>61.9</v>
      </c>
      <c r="L136" s="31">
        <v>3480</v>
      </c>
      <c r="M136" s="30">
        <v>19.5</v>
      </c>
      <c r="N136" s="32">
        <v>1.6</v>
      </c>
      <c r="O136" s="32">
        <v>115</v>
      </c>
      <c r="P136" s="32"/>
      <c r="Q136" s="32">
        <v>44.7</v>
      </c>
      <c r="R136" s="32"/>
      <c r="S136" s="28"/>
    </row>
    <row r="137" spans="2:19" ht="14.25" customHeight="1">
      <c r="B137" s="24"/>
      <c r="C137" s="28" t="s">
        <v>250</v>
      </c>
      <c r="D137" s="28" t="s">
        <v>250</v>
      </c>
      <c r="E137" s="28" t="s">
        <v>44</v>
      </c>
      <c r="F137" s="28" t="s">
        <v>251</v>
      </c>
      <c r="G137" s="29">
        <v>1.0686719999999998</v>
      </c>
      <c r="H137" s="30">
        <v>73.599999999999994</v>
      </c>
      <c r="I137" s="30">
        <v>145.19999999999999</v>
      </c>
      <c r="J137" s="31">
        <v>2500</v>
      </c>
      <c r="K137" s="30">
        <v>70.599999999999994</v>
      </c>
      <c r="L137" s="31">
        <v>5193</v>
      </c>
      <c r="M137" s="30">
        <v>28</v>
      </c>
      <c r="N137" s="32">
        <v>2.4</v>
      </c>
      <c r="O137" s="32">
        <v>170</v>
      </c>
      <c r="P137" s="32">
        <v>19.7</v>
      </c>
      <c r="Q137" s="32"/>
      <c r="R137" s="32">
        <v>13</v>
      </c>
      <c r="S137" s="28" t="s">
        <v>34</v>
      </c>
    </row>
    <row r="138" spans="2:19" ht="14.25" customHeight="1">
      <c r="B138" s="24"/>
      <c r="C138" s="28" t="s">
        <v>252</v>
      </c>
      <c r="D138" s="28" t="s">
        <v>252</v>
      </c>
      <c r="E138" s="28" t="s">
        <v>44</v>
      </c>
      <c r="F138" s="28" t="s">
        <v>253</v>
      </c>
      <c r="G138" s="29">
        <v>1.82548</v>
      </c>
      <c r="H138" s="30">
        <v>97.1</v>
      </c>
      <c r="I138" s="30">
        <v>188</v>
      </c>
      <c r="J138" s="31">
        <v>2780</v>
      </c>
      <c r="K138" s="30">
        <v>78.599999999999994</v>
      </c>
      <c r="L138" s="31">
        <v>7640</v>
      </c>
      <c r="M138" s="30">
        <v>40</v>
      </c>
      <c r="N138" s="32">
        <v>3.55</v>
      </c>
      <c r="O138" s="32">
        <v>271</v>
      </c>
      <c r="P138" s="32">
        <v>21.5</v>
      </c>
      <c r="Q138" s="32"/>
      <c r="R138" s="32">
        <v>14</v>
      </c>
      <c r="S138" s="28" t="s">
        <v>34</v>
      </c>
    </row>
    <row r="139" spans="2:19" ht="14.25" customHeight="1">
      <c r="B139" s="24"/>
      <c r="C139" s="28" t="s">
        <v>254</v>
      </c>
      <c r="D139" s="28" t="s">
        <v>254</v>
      </c>
      <c r="E139" s="28" t="s">
        <v>44</v>
      </c>
      <c r="F139" s="28" t="s">
        <v>255</v>
      </c>
      <c r="G139" s="29">
        <v>3.2124999999999999</v>
      </c>
      <c r="H139" s="30">
        <v>125</v>
      </c>
      <c r="I139" s="30">
        <v>257</v>
      </c>
      <c r="J139" s="31">
        <v>3150</v>
      </c>
      <c r="K139" s="30">
        <v>92.1</v>
      </c>
      <c r="L139" s="31">
        <v>11500</v>
      </c>
      <c r="M139" s="30">
        <v>60</v>
      </c>
      <c r="N139" s="32">
        <v>5.3</v>
      </c>
      <c r="O139" s="32">
        <v>382</v>
      </c>
      <c r="P139" s="32">
        <v>26</v>
      </c>
      <c r="Q139" s="32"/>
      <c r="R139" s="32">
        <v>16</v>
      </c>
      <c r="S139" s="28" t="s">
        <v>34</v>
      </c>
    </row>
    <row r="140" spans="2:19" ht="14.25" customHeight="1">
      <c r="B140" s="24"/>
      <c r="C140" s="28" t="s">
        <v>256</v>
      </c>
      <c r="D140" s="28" t="s">
        <v>256</v>
      </c>
      <c r="E140" s="28" t="s">
        <v>44</v>
      </c>
      <c r="F140" s="28" t="s">
        <v>257</v>
      </c>
      <c r="G140" s="29">
        <v>5.3375000000000004</v>
      </c>
      <c r="H140" s="30">
        <v>175</v>
      </c>
      <c r="I140" s="30">
        <v>305</v>
      </c>
      <c r="J140" s="31">
        <v>4000</v>
      </c>
      <c r="K140" s="30">
        <v>103</v>
      </c>
      <c r="L140" s="31">
        <v>18000</v>
      </c>
      <c r="M140" s="30">
        <v>94</v>
      </c>
      <c r="N140" s="32">
        <v>8.3000000000000007</v>
      </c>
      <c r="O140" s="32">
        <v>523</v>
      </c>
      <c r="P140" s="32">
        <v>30</v>
      </c>
      <c r="Q140" s="32"/>
      <c r="R140" s="32">
        <v>18</v>
      </c>
      <c r="S140" s="28" t="s">
        <v>34</v>
      </c>
    </row>
    <row r="141" spans="2:19" ht="14.25" customHeight="1">
      <c r="B141" s="24"/>
      <c r="C141" s="28" t="s">
        <v>258</v>
      </c>
      <c r="D141" s="28" t="s">
        <v>258</v>
      </c>
      <c r="E141" s="28" t="s">
        <v>44</v>
      </c>
      <c r="F141" s="28" t="s">
        <v>259</v>
      </c>
      <c r="G141" s="29">
        <v>7.9874999999999998</v>
      </c>
      <c r="H141" s="30">
        <v>213</v>
      </c>
      <c r="I141" s="30">
        <v>375</v>
      </c>
      <c r="J141" s="31">
        <v>4440</v>
      </c>
      <c r="K141" s="30">
        <v>114</v>
      </c>
      <c r="L141" s="31">
        <v>24200</v>
      </c>
      <c r="M141" s="30">
        <v>124</v>
      </c>
      <c r="N141" s="32">
        <v>11.2</v>
      </c>
      <c r="O141" s="32">
        <v>682</v>
      </c>
      <c r="P141" s="32"/>
      <c r="Q141" s="32"/>
      <c r="R141" s="32"/>
      <c r="S141" s="28"/>
    </row>
    <row r="142" spans="2:19" ht="14.25" customHeight="1">
      <c r="B142" s="24"/>
      <c r="C142" s="28" t="s">
        <v>260</v>
      </c>
      <c r="D142" s="28" t="s">
        <v>260</v>
      </c>
      <c r="E142" s="28" t="s">
        <v>241</v>
      </c>
      <c r="F142" s="28" t="s">
        <v>261</v>
      </c>
      <c r="G142" s="29">
        <v>11.536000000000001</v>
      </c>
      <c r="H142" s="30">
        <v>280</v>
      </c>
      <c r="I142" s="30">
        <v>412</v>
      </c>
      <c r="J142" s="31">
        <v>4200</v>
      </c>
      <c r="K142" s="30">
        <v>127</v>
      </c>
      <c r="L142" s="31">
        <v>35600</v>
      </c>
      <c r="M142" s="30">
        <v>180</v>
      </c>
      <c r="N142" s="32">
        <v>26</v>
      </c>
      <c r="O142" s="32"/>
      <c r="P142" s="32"/>
      <c r="Q142" s="32"/>
      <c r="R142" s="32"/>
      <c r="S142" s="28"/>
    </row>
    <row r="143" spans="2:19" ht="14.25" customHeight="1">
      <c r="B143" s="24"/>
      <c r="C143" s="28" t="s">
        <v>262</v>
      </c>
      <c r="D143" s="28" t="s">
        <v>262</v>
      </c>
      <c r="E143" s="28" t="s">
        <v>241</v>
      </c>
      <c r="F143" s="28" t="s">
        <v>263</v>
      </c>
      <c r="G143" s="29">
        <v>17.406400000000001</v>
      </c>
      <c r="H143" s="30">
        <v>368</v>
      </c>
      <c r="I143" s="30">
        <v>473</v>
      </c>
      <c r="J143" s="31">
        <v>5000</v>
      </c>
      <c r="K143" s="30">
        <v>139</v>
      </c>
      <c r="L143" s="31">
        <v>51200</v>
      </c>
      <c r="M143" s="30">
        <v>260</v>
      </c>
      <c r="N143" s="32"/>
      <c r="O143" s="32"/>
      <c r="P143" s="32"/>
      <c r="Q143" s="32"/>
      <c r="R143" s="32"/>
      <c r="S143" s="28"/>
    </row>
    <row r="144" spans="2:19" ht="14.25" customHeight="1">
      <c r="B144" s="24"/>
      <c r="C144" s="23"/>
      <c r="D144" s="23"/>
      <c r="E144" s="28"/>
      <c r="F144" s="28"/>
      <c r="G144" s="29"/>
      <c r="H144" s="30"/>
      <c r="I144" s="30"/>
      <c r="J144" s="31"/>
      <c r="K144" s="30"/>
      <c r="L144" s="31"/>
      <c r="M144" s="30"/>
      <c r="N144" s="32"/>
      <c r="O144" s="32"/>
      <c r="P144" s="32"/>
      <c r="Q144" s="32"/>
      <c r="R144" s="32"/>
      <c r="S144" s="28"/>
    </row>
    <row r="145" spans="2:19" ht="14.25" customHeight="1">
      <c r="B145" s="24"/>
      <c r="C145" s="23"/>
      <c r="D145" s="23"/>
      <c r="E145" s="28"/>
      <c r="F145" s="28"/>
      <c r="G145" s="29"/>
      <c r="H145" s="30"/>
      <c r="I145" s="30"/>
      <c r="J145" s="31"/>
      <c r="K145" s="30"/>
      <c r="L145" s="31"/>
      <c r="M145" s="30"/>
      <c r="N145" s="32"/>
      <c r="O145" s="32"/>
      <c r="P145" s="32"/>
      <c r="Q145" s="32"/>
      <c r="R145" s="32"/>
      <c r="S145" s="28"/>
    </row>
    <row r="146" spans="2:19" ht="14.25" customHeight="1">
      <c r="B146" s="24"/>
      <c r="C146" s="23"/>
      <c r="D146" s="23"/>
      <c r="E146" s="28"/>
      <c r="F146" s="28"/>
      <c r="G146" s="29"/>
      <c r="H146" s="30"/>
      <c r="I146" s="30"/>
      <c r="J146" s="31"/>
      <c r="K146" s="30"/>
      <c r="L146" s="31"/>
      <c r="M146" s="30"/>
      <c r="N146" s="32"/>
      <c r="O146" s="32"/>
      <c r="P146" s="32"/>
      <c r="Q146" s="32"/>
      <c r="R146" s="32"/>
      <c r="S146" s="28"/>
    </row>
    <row r="147" spans="2:19" ht="14.25" customHeight="1">
      <c r="B147" s="23" t="s">
        <v>264</v>
      </c>
      <c r="C147" s="28" t="s">
        <v>265</v>
      </c>
      <c r="D147" s="28" t="s">
        <v>265</v>
      </c>
      <c r="E147" s="28" t="s">
        <v>182</v>
      </c>
      <c r="F147" s="28" t="s">
        <v>266</v>
      </c>
      <c r="G147" s="29">
        <v>0.57171800000000006</v>
      </c>
      <c r="H147" s="30">
        <v>67.900000000000006</v>
      </c>
      <c r="I147" s="30">
        <v>84.2</v>
      </c>
      <c r="J147" s="31">
        <v>3310</v>
      </c>
      <c r="K147" s="30">
        <v>49</v>
      </c>
      <c r="L147" s="31">
        <v>3277</v>
      </c>
      <c r="M147" s="30">
        <v>21</v>
      </c>
      <c r="N147" s="32">
        <v>1.3</v>
      </c>
      <c r="O147" s="32">
        <v>121</v>
      </c>
      <c r="P147" s="32"/>
      <c r="Q147" s="32"/>
      <c r="R147" s="32"/>
      <c r="S147" s="28"/>
    </row>
    <row r="148" spans="2:19" ht="14.25" customHeight="1">
      <c r="B148" s="24"/>
      <c r="C148" s="28" t="s">
        <v>267</v>
      </c>
      <c r="D148" s="28" t="s">
        <v>267</v>
      </c>
      <c r="E148" s="28" t="s">
        <v>182</v>
      </c>
      <c r="F148" s="28" t="s">
        <v>268</v>
      </c>
      <c r="G148" s="29">
        <v>0.18529600000000002</v>
      </c>
      <c r="H148" s="30">
        <v>31.3</v>
      </c>
      <c r="I148" s="30">
        <v>59.2</v>
      </c>
      <c r="J148" s="31">
        <v>1600</v>
      </c>
      <c r="K148" s="30">
        <v>44.1</v>
      </c>
      <c r="L148" s="31">
        <v>1377</v>
      </c>
      <c r="M148" s="30">
        <v>9.6</v>
      </c>
      <c r="N148" s="32">
        <v>0.52</v>
      </c>
      <c r="O148" s="32">
        <v>50</v>
      </c>
      <c r="P148" s="32"/>
      <c r="Q148" s="32"/>
      <c r="R148" s="32"/>
      <c r="S148" s="28"/>
    </row>
    <row r="149" spans="2:19" ht="14.25" customHeight="1">
      <c r="B149" s="24"/>
      <c r="C149" s="28" t="s">
        <v>269</v>
      </c>
      <c r="D149" s="28" t="s">
        <v>269</v>
      </c>
      <c r="E149" s="28" t="s">
        <v>182</v>
      </c>
      <c r="F149" s="28" t="s">
        <v>270</v>
      </c>
      <c r="G149" s="29">
        <v>0.88085900000000006</v>
      </c>
      <c r="H149" s="30">
        <v>70.3</v>
      </c>
      <c r="I149" s="30">
        <v>125.3</v>
      </c>
      <c r="J149" s="31">
        <v>2630</v>
      </c>
      <c r="K149" s="30">
        <v>64</v>
      </c>
      <c r="L149" s="31">
        <v>4498</v>
      </c>
      <c r="M149" s="30">
        <v>30</v>
      </c>
      <c r="N149" s="32">
        <v>1.7</v>
      </c>
      <c r="O149" s="32">
        <v>164</v>
      </c>
      <c r="P149" s="32"/>
      <c r="Q149" s="32"/>
      <c r="R149" s="32"/>
      <c r="S149" s="28"/>
    </row>
    <row r="150" spans="2:19" ht="14.25" customHeight="1">
      <c r="B150" s="24"/>
      <c r="C150" s="23"/>
      <c r="D150" s="23"/>
      <c r="E150" s="28"/>
      <c r="F150" s="28"/>
      <c r="G150" s="29"/>
      <c r="H150" s="30"/>
      <c r="I150" s="30"/>
      <c r="J150" s="31"/>
      <c r="K150" s="30"/>
      <c r="L150" s="31"/>
      <c r="M150" s="30"/>
      <c r="N150" s="32"/>
      <c r="O150" s="32"/>
      <c r="P150" s="32"/>
      <c r="Q150" s="32"/>
      <c r="R150" s="32"/>
      <c r="S150" s="28"/>
    </row>
    <row r="151" spans="2:19" ht="14.25" customHeight="1">
      <c r="B151" s="23" t="s">
        <v>271</v>
      </c>
      <c r="C151" s="28" t="s">
        <v>272</v>
      </c>
      <c r="D151" s="28" t="s">
        <v>272</v>
      </c>
      <c r="E151" s="28" t="s">
        <v>44</v>
      </c>
      <c r="F151" s="28" t="s">
        <v>273</v>
      </c>
      <c r="G151" s="29">
        <v>2.1840000000000002E-2</v>
      </c>
      <c r="H151" s="30">
        <v>14</v>
      </c>
      <c r="I151" s="30">
        <v>15.6</v>
      </c>
      <c r="J151" s="31">
        <v>680</v>
      </c>
      <c r="K151" s="30">
        <v>22.7</v>
      </c>
      <c r="L151" s="31">
        <v>318</v>
      </c>
      <c r="M151" s="30">
        <v>1.7</v>
      </c>
      <c r="N151" s="32">
        <v>0.08</v>
      </c>
      <c r="O151" s="32">
        <v>6.9</v>
      </c>
      <c r="P151" s="32">
        <v>5.9</v>
      </c>
      <c r="Q151" s="32"/>
      <c r="R151" s="32" t="s">
        <v>274</v>
      </c>
      <c r="S151" s="28" t="s">
        <v>53</v>
      </c>
    </row>
    <row r="152" spans="2:19" ht="14.25" customHeight="1">
      <c r="B152" s="24"/>
      <c r="C152" s="28" t="s">
        <v>275</v>
      </c>
      <c r="D152" s="28" t="s">
        <v>275</v>
      </c>
      <c r="E152" s="28" t="s">
        <v>44</v>
      </c>
      <c r="F152" s="28" t="s">
        <v>276</v>
      </c>
      <c r="G152" s="29">
        <v>4.3133999999999999E-2</v>
      </c>
      <c r="H152" s="30">
        <v>23.7</v>
      </c>
      <c r="I152" s="30">
        <v>18.2</v>
      </c>
      <c r="J152" s="31">
        <v>1250</v>
      </c>
      <c r="K152" s="30">
        <v>22.4</v>
      </c>
      <c r="L152" s="31">
        <v>530</v>
      </c>
      <c r="M152" s="30">
        <v>3</v>
      </c>
      <c r="N152" s="32">
        <v>0.18</v>
      </c>
      <c r="O152" s="32">
        <v>16</v>
      </c>
      <c r="P152" s="32">
        <v>4.9000000000000004</v>
      </c>
      <c r="Q152" s="32"/>
      <c r="R152" s="32" t="s">
        <v>274</v>
      </c>
      <c r="S152" s="28" t="s">
        <v>53</v>
      </c>
    </row>
    <row r="153" spans="2:19" ht="14.25" customHeight="1">
      <c r="B153" s="24"/>
      <c r="C153" s="28" t="s">
        <v>277</v>
      </c>
      <c r="D153" s="28" t="s">
        <v>277</v>
      </c>
      <c r="E153" s="28" t="s">
        <v>44</v>
      </c>
      <c r="F153" s="28" t="s">
        <v>278</v>
      </c>
      <c r="G153" s="29">
        <v>9.5160000000000008E-2</v>
      </c>
      <c r="H153" s="30">
        <v>36.6</v>
      </c>
      <c r="I153" s="30">
        <v>26</v>
      </c>
      <c r="J153" s="31">
        <v>1600</v>
      </c>
      <c r="K153" s="30">
        <v>28.6</v>
      </c>
      <c r="L153" s="31">
        <v>1050</v>
      </c>
      <c r="M153" s="30">
        <v>5.5</v>
      </c>
      <c r="N153" s="32">
        <v>0.41</v>
      </c>
      <c r="O153" s="32">
        <v>27</v>
      </c>
      <c r="P153" s="32">
        <v>6.4</v>
      </c>
      <c r="Q153" s="32"/>
      <c r="R153" s="32" t="s">
        <v>274</v>
      </c>
      <c r="S153" s="28" t="s">
        <v>53</v>
      </c>
    </row>
    <row r="154" spans="2:19" ht="14.25" customHeight="1">
      <c r="B154" s="24"/>
      <c r="C154" s="28" t="s">
        <v>279</v>
      </c>
      <c r="D154" s="28" t="s">
        <v>279</v>
      </c>
      <c r="E154" s="28" t="s">
        <v>44</v>
      </c>
      <c r="F154" s="28" t="s">
        <v>280</v>
      </c>
      <c r="G154" s="29">
        <v>0.31296000000000002</v>
      </c>
      <c r="H154" s="30">
        <v>64</v>
      </c>
      <c r="I154" s="30">
        <v>48.9</v>
      </c>
      <c r="J154" s="31">
        <v>1950</v>
      </c>
      <c r="K154" s="30">
        <v>38</v>
      </c>
      <c r="L154" s="31">
        <v>2430</v>
      </c>
      <c r="M154" s="30">
        <v>13</v>
      </c>
      <c r="N154" s="32">
        <v>0.97</v>
      </c>
      <c r="O154" s="32">
        <v>67</v>
      </c>
      <c r="P154" s="32">
        <v>9.15</v>
      </c>
      <c r="Q154" s="32"/>
      <c r="R154" s="32" t="s">
        <v>281</v>
      </c>
      <c r="S154" s="28" t="s">
        <v>53</v>
      </c>
    </row>
    <row r="155" spans="2:19" ht="14.25" customHeight="1">
      <c r="B155" s="24"/>
      <c r="C155" s="28" t="s">
        <v>282</v>
      </c>
      <c r="D155" s="28" t="s">
        <v>282</v>
      </c>
      <c r="E155" s="28" t="s">
        <v>44</v>
      </c>
      <c r="F155" s="28" t="s">
        <v>283</v>
      </c>
      <c r="G155" s="29">
        <v>0.68110000000000004</v>
      </c>
      <c r="H155" s="30">
        <v>98</v>
      </c>
      <c r="I155" s="30">
        <v>69.5</v>
      </c>
      <c r="J155" s="31">
        <v>3630</v>
      </c>
      <c r="K155" s="30">
        <v>44</v>
      </c>
      <c r="L155" s="31">
        <v>4310</v>
      </c>
      <c r="M155" s="30">
        <v>23</v>
      </c>
      <c r="N155" s="32">
        <v>1.8</v>
      </c>
      <c r="O155" s="32">
        <v>130</v>
      </c>
      <c r="P155" s="32">
        <v>10.75</v>
      </c>
      <c r="Q155" s="32"/>
      <c r="R155" s="32" t="s">
        <v>78</v>
      </c>
      <c r="S155" s="28" t="s">
        <v>53</v>
      </c>
    </row>
    <row r="156" spans="2:19" ht="14.25" customHeight="1">
      <c r="B156" s="24"/>
      <c r="C156" s="28" t="s">
        <v>284</v>
      </c>
      <c r="D156" s="28" t="s">
        <v>284</v>
      </c>
      <c r="E156" s="28" t="s">
        <v>44</v>
      </c>
      <c r="F156" s="28" t="s">
        <v>285</v>
      </c>
      <c r="G156" s="29">
        <v>1.54</v>
      </c>
      <c r="H156" s="30">
        <v>140</v>
      </c>
      <c r="I156" s="30">
        <v>110</v>
      </c>
      <c r="J156" s="31">
        <v>4150</v>
      </c>
      <c r="K156" s="30">
        <v>56.9</v>
      </c>
      <c r="L156" s="31">
        <v>7960</v>
      </c>
      <c r="M156" s="30">
        <v>42</v>
      </c>
      <c r="N156" s="32">
        <v>3.3</v>
      </c>
      <c r="O156" s="32">
        <v>344</v>
      </c>
      <c r="P156" s="32">
        <v>14.8</v>
      </c>
      <c r="Q156" s="32"/>
      <c r="R156" s="32" t="s">
        <v>286</v>
      </c>
      <c r="S156" s="28" t="s">
        <v>53</v>
      </c>
    </row>
    <row r="157" spans="2:19" ht="14.25" customHeight="1">
      <c r="B157" s="24"/>
      <c r="C157" s="28" t="s">
        <v>287</v>
      </c>
      <c r="D157" s="28" t="s">
        <v>287</v>
      </c>
      <c r="E157" s="28" t="s">
        <v>44</v>
      </c>
      <c r="F157" s="28" t="s">
        <v>288</v>
      </c>
      <c r="G157" s="29">
        <v>2.9140000000000001</v>
      </c>
      <c r="H157" s="30">
        <v>188</v>
      </c>
      <c r="I157" s="30">
        <v>155</v>
      </c>
      <c r="J157" s="31">
        <v>4600</v>
      </c>
      <c r="K157" s="30">
        <v>69</v>
      </c>
      <c r="L157" s="31">
        <v>13000</v>
      </c>
      <c r="M157" s="30">
        <v>70</v>
      </c>
      <c r="N157" s="32">
        <v>4.75</v>
      </c>
      <c r="O157" s="32">
        <v>376</v>
      </c>
      <c r="P157" s="32">
        <v>18.8</v>
      </c>
      <c r="Q157" s="32"/>
      <c r="R157" s="32" t="s">
        <v>78</v>
      </c>
      <c r="S157" s="28" t="s">
        <v>53</v>
      </c>
    </row>
    <row r="158" spans="2:19" ht="14.25" customHeight="1">
      <c r="B158" s="24"/>
      <c r="C158" s="23"/>
      <c r="D158" s="23"/>
      <c r="E158" s="28"/>
      <c r="F158" s="28"/>
      <c r="G158" s="29"/>
      <c r="H158" s="30"/>
      <c r="I158" s="30"/>
      <c r="J158" s="31"/>
      <c r="K158" s="30"/>
      <c r="L158" s="31"/>
      <c r="M158" s="30"/>
      <c r="N158" s="32"/>
      <c r="O158" s="32"/>
      <c r="P158" s="32"/>
      <c r="Q158" s="32"/>
      <c r="R158" s="32"/>
      <c r="S158" s="28"/>
    </row>
    <row r="159" spans="2:19" ht="14.25" customHeight="1">
      <c r="B159" s="24"/>
      <c r="C159" s="23"/>
      <c r="D159" s="23"/>
      <c r="E159" s="28"/>
      <c r="F159" s="28"/>
      <c r="G159" s="29"/>
      <c r="H159" s="30"/>
      <c r="I159" s="30"/>
      <c r="J159" s="31"/>
      <c r="K159" s="30"/>
      <c r="L159" s="31"/>
      <c r="M159" s="30"/>
      <c r="N159" s="32"/>
      <c r="O159" s="32"/>
      <c r="P159" s="32"/>
      <c r="Q159" s="32"/>
      <c r="R159" s="32"/>
      <c r="S159" s="28"/>
    </row>
    <row r="160" spans="2:19" ht="14.25" customHeight="1">
      <c r="B160" s="24"/>
      <c r="C160" s="23"/>
      <c r="D160" s="23"/>
      <c r="E160" s="28"/>
      <c r="F160" s="28"/>
      <c r="G160" s="29"/>
      <c r="H160" s="30"/>
      <c r="I160" s="30"/>
      <c r="J160" s="31"/>
      <c r="K160" s="30"/>
      <c r="L160" s="31"/>
      <c r="M160" s="30"/>
      <c r="N160" s="32"/>
      <c r="O160" s="32"/>
      <c r="P160" s="32"/>
      <c r="Q160" s="32"/>
      <c r="R160" s="32"/>
      <c r="S160" s="28"/>
    </row>
    <row r="161" spans="2:19" ht="14.25" customHeight="1">
      <c r="B161" s="23" t="s">
        <v>289</v>
      </c>
      <c r="C161" s="28" t="s">
        <v>290</v>
      </c>
      <c r="D161" s="28" t="s">
        <v>290</v>
      </c>
      <c r="E161" s="28" t="s">
        <v>32</v>
      </c>
      <c r="F161" s="28" t="s">
        <v>291</v>
      </c>
      <c r="G161" s="29">
        <v>3.7400000000000003E-2</v>
      </c>
      <c r="H161" s="30">
        <v>17</v>
      </c>
      <c r="I161" s="30">
        <v>22</v>
      </c>
      <c r="J161" s="31">
        <v>1750</v>
      </c>
      <c r="K161" s="30">
        <v>22.5</v>
      </c>
      <c r="L161" s="31">
        <v>495</v>
      </c>
      <c r="M161" s="30">
        <v>2.5</v>
      </c>
      <c r="N161" s="32"/>
      <c r="O161" s="32"/>
      <c r="P161" s="32">
        <v>4</v>
      </c>
      <c r="Q161" s="32"/>
      <c r="R161" s="32">
        <v>12</v>
      </c>
      <c r="S161" s="28" t="s">
        <v>53</v>
      </c>
    </row>
    <row r="162" spans="2:19" ht="14.25" customHeight="1">
      <c r="B162" s="24"/>
      <c r="C162" s="28" t="s">
        <v>292</v>
      </c>
      <c r="D162" s="28" t="s">
        <v>292</v>
      </c>
      <c r="E162" s="28" t="s">
        <v>32</v>
      </c>
      <c r="F162" s="28" t="s">
        <v>293</v>
      </c>
      <c r="G162" s="29">
        <v>0.10665240000000002</v>
      </c>
      <c r="H162" s="30">
        <v>37.200000000000003</v>
      </c>
      <c r="I162" s="30">
        <v>28.67</v>
      </c>
      <c r="J162" s="31">
        <v>2400</v>
      </c>
      <c r="K162" s="30">
        <v>28.7</v>
      </c>
      <c r="L162" s="31">
        <v>1070</v>
      </c>
      <c r="M162" s="30">
        <v>5</v>
      </c>
      <c r="N162" s="32" t="s">
        <v>294</v>
      </c>
      <c r="O162" s="32"/>
      <c r="P162" s="32">
        <v>6</v>
      </c>
      <c r="Q162" s="32"/>
      <c r="R162" s="32">
        <v>6</v>
      </c>
      <c r="S162" s="28" t="s">
        <v>53</v>
      </c>
    </row>
    <row r="163" spans="2:19" ht="14.25" customHeight="1">
      <c r="B163" s="24"/>
      <c r="C163" s="28" t="s">
        <v>295</v>
      </c>
      <c r="D163" s="28" t="s">
        <v>295</v>
      </c>
      <c r="E163" s="28" t="s">
        <v>32</v>
      </c>
      <c r="F163" s="28" t="s">
        <v>296</v>
      </c>
      <c r="G163" s="29">
        <v>0.18464160000000002</v>
      </c>
      <c r="H163" s="30">
        <v>57.2</v>
      </c>
      <c r="I163" s="30">
        <v>32.28</v>
      </c>
      <c r="J163" s="31">
        <v>3560</v>
      </c>
      <c r="K163" s="30">
        <v>31.6</v>
      </c>
      <c r="L163" s="31">
        <v>1810</v>
      </c>
      <c r="M163" s="30">
        <v>9</v>
      </c>
      <c r="N163" s="32" t="s">
        <v>297</v>
      </c>
      <c r="O163" s="32"/>
      <c r="P163" s="32">
        <v>5.16</v>
      </c>
      <c r="Q163" s="32"/>
      <c r="R163" s="32">
        <v>10</v>
      </c>
      <c r="S163" s="28" t="s">
        <v>53</v>
      </c>
    </row>
    <row r="164" spans="2:19" ht="14.25" customHeight="1">
      <c r="B164" s="24"/>
      <c r="C164" s="28" t="s">
        <v>298</v>
      </c>
      <c r="D164" s="28" t="s">
        <v>298</v>
      </c>
      <c r="E164" s="28" t="s">
        <v>32</v>
      </c>
      <c r="F164" s="28" t="s">
        <v>299</v>
      </c>
      <c r="G164" s="29">
        <v>0.36099360000000003</v>
      </c>
      <c r="H164" s="30">
        <v>58.3</v>
      </c>
      <c r="I164" s="30">
        <v>61.92</v>
      </c>
      <c r="J164" s="31">
        <v>2900</v>
      </c>
      <c r="K164" s="30">
        <v>45.1</v>
      </c>
      <c r="L164" s="31">
        <v>2630</v>
      </c>
      <c r="M164" s="30">
        <v>13</v>
      </c>
      <c r="N164" s="32" t="s">
        <v>300</v>
      </c>
      <c r="O164" s="32"/>
      <c r="P164" s="32">
        <v>11.76</v>
      </c>
      <c r="Q164" s="32"/>
      <c r="R164" s="32">
        <v>10</v>
      </c>
      <c r="S164" s="28" t="s">
        <v>53</v>
      </c>
    </row>
    <row r="165" spans="2:19" ht="14.25" customHeight="1">
      <c r="B165" s="24"/>
      <c r="C165" s="28" t="s">
        <v>301</v>
      </c>
      <c r="D165" s="28" t="s">
        <v>301</v>
      </c>
      <c r="E165" s="28" t="s">
        <v>32</v>
      </c>
      <c r="F165" s="28" t="s">
        <v>302</v>
      </c>
      <c r="G165" s="29">
        <v>0.88644599999999996</v>
      </c>
      <c r="H165" s="30">
        <v>111</v>
      </c>
      <c r="I165" s="30">
        <v>79.86</v>
      </c>
      <c r="J165" s="31">
        <v>4140</v>
      </c>
      <c r="K165" s="30">
        <v>50.2</v>
      </c>
      <c r="L165" s="31">
        <v>5570</v>
      </c>
      <c r="M165" s="30">
        <v>30</v>
      </c>
      <c r="N165" s="32" t="s">
        <v>303</v>
      </c>
      <c r="O165" s="32"/>
      <c r="P165" s="32">
        <v>10.8</v>
      </c>
      <c r="Q165" s="32"/>
      <c r="R165" s="32">
        <v>10</v>
      </c>
      <c r="S165" s="28" t="s">
        <v>53</v>
      </c>
    </row>
    <row r="166" spans="2:19" ht="14.25" customHeight="1">
      <c r="B166" s="24"/>
      <c r="C166" s="23"/>
      <c r="D166" s="23"/>
      <c r="E166" s="28"/>
      <c r="F166" s="28"/>
      <c r="G166" s="29"/>
      <c r="H166" s="30"/>
      <c r="I166" s="30"/>
      <c r="J166" s="31"/>
      <c r="K166" s="30"/>
      <c r="L166" s="31"/>
      <c r="M166" s="30"/>
      <c r="N166" s="32"/>
      <c r="O166" s="32"/>
      <c r="P166" s="32"/>
      <c r="Q166" s="32"/>
      <c r="R166" s="32"/>
      <c r="S166" s="28"/>
    </row>
    <row r="167" spans="2:19" ht="14.25" customHeight="1">
      <c r="B167" s="24"/>
      <c r="C167" s="23"/>
      <c r="D167" s="23"/>
      <c r="E167" s="28"/>
      <c r="F167" s="28"/>
      <c r="G167" s="29"/>
      <c r="H167" s="30"/>
      <c r="I167" s="30"/>
      <c r="J167" s="31"/>
      <c r="K167" s="30"/>
      <c r="L167" s="31"/>
      <c r="M167" s="30"/>
      <c r="N167" s="32"/>
      <c r="O167" s="32"/>
      <c r="P167" s="32"/>
      <c r="Q167" s="32"/>
      <c r="R167" s="32"/>
      <c r="S167" s="28"/>
    </row>
    <row r="168" spans="2:19" ht="14.25" customHeight="1">
      <c r="B168" s="24"/>
      <c r="C168" s="23"/>
      <c r="D168" s="23"/>
      <c r="E168" s="28"/>
      <c r="F168" s="28"/>
      <c r="G168" s="29"/>
      <c r="H168" s="30"/>
      <c r="I168" s="30"/>
      <c r="J168" s="31"/>
      <c r="K168" s="30"/>
      <c r="L168" s="31"/>
      <c r="M168" s="30"/>
      <c r="N168" s="32"/>
      <c r="O168" s="32"/>
      <c r="P168" s="32"/>
      <c r="Q168" s="32"/>
      <c r="R168" s="32"/>
      <c r="S168" s="28"/>
    </row>
    <row r="169" spans="2:19" ht="14.25" customHeight="1">
      <c r="B169" s="23" t="s">
        <v>304</v>
      </c>
      <c r="C169" s="28" t="s">
        <v>305</v>
      </c>
      <c r="D169" s="28" t="s">
        <v>305</v>
      </c>
      <c r="E169" s="28" t="s">
        <v>182</v>
      </c>
      <c r="F169" s="28" t="s">
        <v>306</v>
      </c>
      <c r="G169" s="29">
        <v>0.29139999999999999</v>
      </c>
      <c r="H169" s="30">
        <v>62</v>
      </c>
      <c r="I169" s="30">
        <v>47</v>
      </c>
      <c r="J169" s="31">
        <v>3880</v>
      </c>
      <c r="K169" s="30">
        <v>37.4</v>
      </c>
      <c r="L169" s="31">
        <v>2310</v>
      </c>
      <c r="M169" s="30">
        <v>13</v>
      </c>
      <c r="N169" s="32">
        <v>0.84</v>
      </c>
      <c r="O169" s="32">
        <v>70</v>
      </c>
      <c r="P169" s="32">
        <v>7.95</v>
      </c>
      <c r="Q169" s="32">
        <v>23.5</v>
      </c>
      <c r="R169" s="32">
        <v>12</v>
      </c>
      <c r="S169" s="28" t="s">
        <v>53</v>
      </c>
    </row>
    <row r="170" spans="2:19" ht="14.25" customHeight="1">
      <c r="B170" s="24"/>
      <c r="C170" s="28" t="s">
        <v>307</v>
      </c>
      <c r="D170" s="28" t="s">
        <v>307</v>
      </c>
      <c r="E170" s="28" t="s">
        <v>182</v>
      </c>
      <c r="F170" s="28" t="s">
        <v>308</v>
      </c>
      <c r="G170" s="29">
        <v>0.40795999999999999</v>
      </c>
      <c r="H170" s="30">
        <v>62</v>
      </c>
      <c r="I170" s="30">
        <v>65.8</v>
      </c>
      <c r="J170" s="31">
        <v>3150</v>
      </c>
      <c r="K170" s="30">
        <v>45.7</v>
      </c>
      <c r="L170" s="31">
        <v>2790</v>
      </c>
      <c r="M170" s="30">
        <v>15</v>
      </c>
      <c r="N170" s="32">
        <v>1.02</v>
      </c>
      <c r="O170" s="32">
        <v>92</v>
      </c>
      <c r="P170" s="32">
        <v>11.9</v>
      </c>
      <c r="Q170" s="32">
        <v>36</v>
      </c>
      <c r="R170" s="32">
        <v>12</v>
      </c>
      <c r="S170" s="28" t="s">
        <v>53</v>
      </c>
    </row>
    <row r="171" spans="2:19" ht="14.25" customHeight="1">
      <c r="B171" s="24"/>
      <c r="C171" s="28" t="s">
        <v>309</v>
      </c>
      <c r="D171" s="28" t="s">
        <v>309</v>
      </c>
      <c r="E171" s="28" t="s">
        <v>182</v>
      </c>
      <c r="F171" s="28" t="s">
        <v>310</v>
      </c>
      <c r="G171" s="29">
        <v>0.71875999999999995</v>
      </c>
      <c r="H171" s="30">
        <v>119</v>
      </c>
      <c r="I171" s="30">
        <v>60.4</v>
      </c>
      <c r="J171" s="31">
        <v>6170</v>
      </c>
      <c r="K171" s="30">
        <v>46.3</v>
      </c>
      <c r="L171" s="31">
        <v>5490</v>
      </c>
      <c r="M171" s="30">
        <v>31</v>
      </c>
      <c r="N171" s="32">
        <v>1.94</v>
      </c>
      <c r="O171" s="32">
        <v>170</v>
      </c>
      <c r="P171" s="32">
        <v>9</v>
      </c>
      <c r="Q171" s="32">
        <v>31.1</v>
      </c>
      <c r="R171" s="32">
        <v>12</v>
      </c>
      <c r="S171" s="28" t="s">
        <v>53</v>
      </c>
    </row>
    <row r="172" spans="2:19" ht="14.25" customHeight="1">
      <c r="B172" s="24"/>
      <c r="C172" s="28" t="s">
        <v>311</v>
      </c>
      <c r="D172" s="28" t="s">
        <v>311</v>
      </c>
      <c r="E172" s="28" t="s">
        <v>182</v>
      </c>
      <c r="F172" s="28" t="s">
        <v>312</v>
      </c>
      <c r="G172" s="29">
        <v>0.9971000000000001</v>
      </c>
      <c r="H172" s="30">
        <v>118</v>
      </c>
      <c r="I172" s="30">
        <v>84.5</v>
      </c>
      <c r="J172" s="31">
        <v>5250</v>
      </c>
      <c r="K172" s="30">
        <v>55.5</v>
      </c>
      <c r="L172" s="31">
        <v>6530</v>
      </c>
      <c r="M172" s="30">
        <v>36</v>
      </c>
      <c r="N172" s="32">
        <v>2.3199999999999998</v>
      </c>
      <c r="O172" s="32">
        <v>195</v>
      </c>
      <c r="P172" s="32">
        <v>13.6</v>
      </c>
      <c r="Q172" s="32">
        <v>47.5</v>
      </c>
      <c r="R172" s="32">
        <v>12</v>
      </c>
      <c r="S172" s="28" t="s">
        <v>53</v>
      </c>
    </row>
    <row r="173" spans="2:19" ht="14.25" customHeight="1">
      <c r="B173" s="24"/>
      <c r="C173" s="28" t="s">
        <v>313</v>
      </c>
      <c r="D173" s="28" t="s">
        <v>313</v>
      </c>
      <c r="E173" s="28" t="s">
        <v>182</v>
      </c>
      <c r="F173" s="28" t="s">
        <v>314</v>
      </c>
      <c r="G173" s="29">
        <v>1.3736000000000002</v>
      </c>
      <c r="H173" s="30">
        <v>170</v>
      </c>
      <c r="I173" s="30">
        <v>80.8</v>
      </c>
      <c r="J173" s="31">
        <v>7310</v>
      </c>
      <c r="K173" s="30">
        <v>55.5</v>
      </c>
      <c r="L173" s="31">
        <v>9420</v>
      </c>
      <c r="M173" s="30">
        <v>42</v>
      </c>
      <c r="N173" s="32">
        <v>2.92</v>
      </c>
      <c r="O173" s="32">
        <v>232</v>
      </c>
      <c r="P173" s="32">
        <v>8.9</v>
      </c>
      <c r="Q173" s="32">
        <v>44.8</v>
      </c>
      <c r="R173" s="32"/>
      <c r="S173" s="28"/>
    </row>
    <row r="174" spans="2:19" ht="14.25" customHeight="1">
      <c r="B174" s="24"/>
      <c r="C174" s="28" t="s">
        <v>315</v>
      </c>
      <c r="D174" s="28" t="s">
        <v>315</v>
      </c>
      <c r="E174" s="28" t="s">
        <v>182</v>
      </c>
      <c r="F174" s="28" t="s">
        <v>316</v>
      </c>
      <c r="G174" s="29">
        <v>2.40856</v>
      </c>
      <c r="H174" s="30">
        <v>161</v>
      </c>
      <c r="I174" s="30">
        <v>149.6</v>
      </c>
      <c r="J174" s="31">
        <v>5140</v>
      </c>
      <c r="K174" s="30">
        <v>74.599999999999994</v>
      </c>
      <c r="L174" s="31">
        <v>11970</v>
      </c>
      <c r="M174" s="30">
        <v>55</v>
      </c>
      <c r="N174" s="32">
        <v>3.92</v>
      </c>
      <c r="O174" s="32">
        <v>331</v>
      </c>
      <c r="P174" s="32">
        <v>18.5</v>
      </c>
      <c r="Q174" s="32">
        <v>53</v>
      </c>
      <c r="R174" s="32">
        <v>12</v>
      </c>
      <c r="S174" s="28" t="s">
        <v>53</v>
      </c>
    </row>
    <row r="175" spans="2:19" ht="14.25" customHeight="1">
      <c r="B175" s="24"/>
      <c r="C175" s="28" t="s">
        <v>317</v>
      </c>
      <c r="D175" s="28" t="s">
        <v>317</v>
      </c>
      <c r="E175" s="28" t="s">
        <v>182</v>
      </c>
      <c r="F175" s="28" t="s">
        <v>318</v>
      </c>
      <c r="G175" s="29">
        <v>4.32376</v>
      </c>
      <c r="H175" s="30">
        <v>196</v>
      </c>
      <c r="I175" s="30">
        <v>220.6</v>
      </c>
      <c r="J175" s="31">
        <v>4860</v>
      </c>
      <c r="K175" s="30">
        <v>87.9</v>
      </c>
      <c r="L175" s="31">
        <v>19260</v>
      </c>
      <c r="M175" s="30">
        <v>73</v>
      </c>
      <c r="N175" s="32">
        <v>5.27</v>
      </c>
      <c r="O175" s="32">
        <v>452</v>
      </c>
      <c r="P175" s="32"/>
      <c r="Q175" s="32"/>
      <c r="R175" s="32"/>
      <c r="S175" s="28"/>
    </row>
    <row r="176" spans="2:19" ht="14.25" customHeight="1">
      <c r="B176" s="24"/>
      <c r="C176" s="28" t="s">
        <v>319</v>
      </c>
      <c r="D176" s="28" t="s">
        <v>319</v>
      </c>
      <c r="E176" s="28" t="s">
        <v>182</v>
      </c>
      <c r="F176" s="28" t="s">
        <v>320</v>
      </c>
      <c r="G176" s="29">
        <v>6.5526</v>
      </c>
      <c r="H176" s="30">
        <v>201</v>
      </c>
      <c r="I176" s="30">
        <v>326</v>
      </c>
      <c r="J176" s="31">
        <v>4300</v>
      </c>
      <c r="K176" s="30">
        <v>101.9</v>
      </c>
      <c r="L176" s="31">
        <v>20450</v>
      </c>
      <c r="M176" s="30">
        <v>95</v>
      </c>
      <c r="N176" s="32">
        <v>6.56</v>
      </c>
      <c r="O176" s="32">
        <v>596</v>
      </c>
      <c r="P176" s="32"/>
      <c r="Q176" s="32"/>
      <c r="R176" s="32"/>
      <c r="S176" s="28"/>
    </row>
    <row r="177" spans="2:19" ht="14.25" customHeight="1">
      <c r="B177" s="24"/>
      <c r="C177" s="28" t="s">
        <v>321</v>
      </c>
      <c r="D177" s="28" t="s">
        <v>321</v>
      </c>
      <c r="E177" s="28" t="s">
        <v>182</v>
      </c>
      <c r="F177" s="28" t="s">
        <v>322</v>
      </c>
      <c r="G177" s="29">
        <v>14.202400000000001</v>
      </c>
      <c r="H177" s="30">
        <v>328</v>
      </c>
      <c r="I177" s="30">
        <v>433</v>
      </c>
      <c r="J177" s="31">
        <v>6720</v>
      </c>
      <c r="K177" s="30">
        <v>113</v>
      </c>
      <c r="L177" s="31">
        <v>37238</v>
      </c>
      <c r="M177" s="30">
        <v>195</v>
      </c>
      <c r="N177" s="32">
        <v>6.4</v>
      </c>
      <c r="O177" s="32">
        <v>1045</v>
      </c>
      <c r="P177" s="32"/>
      <c r="Q177" s="32"/>
      <c r="R177" s="32"/>
      <c r="S177" s="28"/>
    </row>
    <row r="178" spans="2:19" ht="14.25" customHeight="1">
      <c r="B178" s="24"/>
      <c r="C178" s="23"/>
      <c r="D178" s="23"/>
      <c r="E178" s="28"/>
      <c r="F178" s="28"/>
      <c r="G178" s="29"/>
      <c r="H178" s="30"/>
      <c r="I178" s="30"/>
      <c r="J178" s="31"/>
      <c r="K178" s="30"/>
      <c r="L178" s="31"/>
      <c r="M178" s="30"/>
      <c r="N178" s="32"/>
      <c r="O178" s="32"/>
      <c r="P178" s="32"/>
      <c r="Q178" s="32"/>
      <c r="R178" s="32"/>
      <c r="S178" s="28"/>
    </row>
    <row r="179" spans="2:19" ht="14.25" customHeight="1">
      <c r="B179" s="24"/>
      <c r="C179" s="23"/>
      <c r="D179" s="23"/>
      <c r="E179" s="28"/>
      <c r="F179" s="28"/>
      <c r="G179" s="29"/>
      <c r="H179" s="30"/>
      <c r="I179" s="30"/>
      <c r="J179" s="31"/>
      <c r="K179" s="30"/>
      <c r="L179" s="31"/>
      <c r="M179" s="30"/>
      <c r="N179" s="32"/>
      <c r="O179" s="32"/>
      <c r="P179" s="32"/>
      <c r="Q179" s="32"/>
      <c r="R179" s="32"/>
      <c r="S179" s="28"/>
    </row>
    <row r="180" spans="2:19" ht="14.25" customHeight="1">
      <c r="B180" s="24"/>
      <c r="C180" s="23"/>
      <c r="D180" s="23"/>
      <c r="E180" s="28"/>
      <c r="F180" s="28"/>
      <c r="G180" s="29"/>
      <c r="H180" s="30"/>
      <c r="I180" s="30"/>
      <c r="J180" s="31"/>
      <c r="K180" s="30"/>
      <c r="L180" s="31"/>
      <c r="M180" s="30"/>
      <c r="N180" s="32"/>
      <c r="O180" s="32"/>
      <c r="P180" s="32"/>
      <c r="Q180" s="32"/>
      <c r="R180" s="32"/>
      <c r="S180" s="28"/>
    </row>
    <row r="181" spans="2:19" ht="14.25" customHeight="1">
      <c r="B181" s="23" t="s">
        <v>323</v>
      </c>
      <c r="C181" s="28" t="s">
        <v>324</v>
      </c>
      <c r="D181" s="28" t="s">
        <v>324</v>
      </c>
      <c r="E181" s="28" t="s">
        <v>44</v>
      </c>
      <c r="F181" s="28" t="s">
        <v>325</v>
      </c>
      <c r="G181" s="29">
        <v>2.5064799999999998E-2</v>
      </c>
      <c r="H181" s="30">
        <v>7.76</v>
      </c>
      <c r="I181" s="30">
        <v>32.299999999999997</v>
      </c>
      <c r="J181" s="31">
        <v>560</v>
      </c>
      <c r="K181" s="30">
        <v>31.4</v>
      </c>
      <c r="L181" s="31">
        <v>243</v>
      </c>
      <c r="M181" s="30">
        <v>1.2</v>
      </c>
      <c r="N181" s="32">
        <v>0.12</v>
      </c>
      <c r="O181" s="32"/>
      <c r="P181" s="32"/>
      <c r="Q181" s="32"/>
      <c r="R181" s="32"/>
      <c r="S181" s="28"/>
    </row>
    <row r="182" spans="2:19" ht="14.25" customHeight="1">
      <c r="B182" s="24"/>
      <c r="C182" s="28" t="s">
        <v>326</v>
      </c>
      <c r="D182" s="28" t="s">
        <v>326</v>
      </c>
      <c r="E182" s="28" t="s">
        <v>44</v>
      </c>
      <c r="F182" s="28" t="s">
        <v>327</v>
      </c>
      <c r="G182" s="29">
        <v>2.6928000000000004E-2</v>
      </c>
      <c r="H182" s="30">
        <v>7.65</v>
      </c>
      <c r="I182" s="30">
        <v>35.200000000000003</v>
      </c>
      <c r="J182" s="31">
        <v>500</v>
      </c>
      <c r="K182" s="30">
        <v>34.1</v>
      </c>
      <c r="L182" s="31">
        <v>261</v>
      </c>
      <c r="M182" s="30">
        <v>1.3</v>
      </c>
      <c r="N182" s="32">
        <v>0.14000000000000001</v>
      </c>
      <c r="O182" s="32"/>
      <c r="P182" s="32"/>
      <c r="Q182" s="32"/>
      <c r="R182" s="32"/>
      <c r="S182" s="28"/>
    </row>
    <row r="183" spans="2:19" ht="14.25" customHeight="1">
      <c r="B183" s="24"/>
      <c r="C183" s="28" t="s">
        <v>328</v>
      </c>
      <c r="D183" s="28" t="s">
        <v>328</v>
      </c>
      <c r="E183" s="28" t="s">
        <v>329</v>
      </c>
      <c r="F183" s="28" t="s">
        <v>330</v>
      </c>
      <c r="G183" s="29">
        <v>3.2680000000000001E-2</v>
      </c>
      <c r="H183" s="30">
        <v>8.6</v>
      </c>
      <c r="I183" s="30">
        <v>38</v>
      </c>
      <c r="J183" s="31">
        <v>515</v>
      </c>
      <c r="K183" s="30">
        <v>35.700000000000003</v>
      </c>
      <c r="L183" s="31">
        <v>300</v>
      </c>
      <c r="M183" s="30">
        <v>1.5</v>
      </c>
      <c r="N183" s="32">
        <v>0.15</v>
      </c>
      <c r="O183" s="32"/>
      <c r="P183" s="32"/>
      <c r="Q183" s="32"/>
      <c r="R183" s="32"/>
      <c r="S183" s="28"/>
    </row>
    <row r="184" spans="2:19" ht="14.25" customHeight="1">
      <c r="B184" s="24"/>
      <c r="C184" s="28" t="s">
        <v>331</v>
      </c>
      <c r="D184" s="28" t="s">
        <v>331</v>
      </c>
      <c r="E184" s="28" t="s">
        <v>329</v>
      </c>
      <c r="F184" s="28" t="s">
        <v>332</v>
      </c>
      <c r="G184" s="29">
        <v>7.3656000000000013E-2</v>
      </c>
      <c r="H184" s="30">
        <v>12.4</v>
      </c>
      <c r="I184" s="30">
        <v>59.4</v>
      </c>
      <c r="J184" s="31">
        <v>720</v>
      </c>
      <c r="K184" s="30">
        <v>40.5</v>
      </c>
      <c r="L184" s="31">
        <v>505</v>
      </c>
      <c r="M184" s="30">
        <v>2.5</v>
      </c>
      <c r="N184" s="32">
        <v>0.26</v>
      </c>
      <c r="O184" s="32"/>
      <c r="P184" s="32"/>
      <c r="Q184" s="32"/>
      <c r="R184" s="32"/>
      <c r="S184" s="28"/>
    </row>
    <row r="185" spans="2:19" ht="14.25" customHeight="1">
      <c r="B185" s="24"/>
      <c r="C185" s="28" t="s">
        <v>333</v>
      </c>
      <c r="D185" s="28" t="s">
        <v>333</v>
      </c>
      <c r="E185" s="28" t="s">
        <v>44</v>
      </c>
      <c r="F185" s="28" t="s">
        <v>334</v>
      </c>
      <c r="G185" s="29">
        <v>0.137409</v>
      </c>
      <c r="H185" s="30">
        <v>16.3</v>
      </c>
      <c r="I185" s="30">
        <v>84.3</v>
      </c>
      <c r="J185" s="31">
        <v>800</v>
      </c>
      <c r="K185" s="30">
        <v>49.2</v>
      </c>
      <c r="L185" s="31">
        <v>803</v>
      </c>
      <c r="M185" s="30">
        <v>4</v>
      </c>
      <c r="N185" s="32">
        <v>0.4</v>
      </c>
      <c r="O185" s="32"/>
      <c r="P185" s="32"/>
      <c r="Q185" s="32"/>
      <c r="R185" s="32"/>
      <c r="S185" s="28"/>
    </row>
    <row r="186" spans="2:19" ht="14.25" customHeight="1">
      <c r="B186" s="24"/>
      <c r="C186" s="28" t="s">
        <v>335</v>
      </c>
      <c r="D186" s="28" t="s">
        <v>335</v>
      </c>
      <c r="E186" s="28" t="s">
        <v>44</v>
      </c>
      <c r="F186" s="28" t="s">
        <v>336</v>
      </c>
      <c r="G186" s="29">
        <v>0.20442500000000002</v>
      </c>
      <c r="H186" s="30">
        <v>32.5</v>
      </c>
      <c r="I186" s="30">
        <v>62.9</v>
      </c>
      <c r="J186" s="31">
        <v>1400</v>
      </c>
      <c r="K186" s="30">
        <v>50.5</v>
      </c>
      <c r="L186" s="31">
        <v>1640</v>
      </c>
      <c r="M186" s="30">
        <v>8.5</v>
      </c>
      <c r="N186" s="32">
        <v>0.83</v>
      </c>
      <c r="O186" s="32"/>
      <c r="P186" s="32"/>
      <c r="Q186" s="32"/>
      <c r="R186" s="32"/>
      <c r="S186" s="28"/>
    </row>
    <row r="187" spans="2:19" ht="14.25" customHeight="1">
      <c r="B187" s="24"/>
      <c r="C187" s="28" t="s">
        <v>337</v>
      </c>
      <c r="D187" s="28" t="s">
        <v>337</v>
      </c>
      <c r="E187" s="28" t="s">
        <v>44</v>
      </c>
      <c r="F187" s="28" t="s">
        <v>338</v>
      </c>
      <c r="G187" s="29">
        <v>0.21213499999999999</v>
      </c>
      <c r="H187" s="30">
        <v>31.9</v>
      </c>
      <c r="I187" s="30">
        <v>66.5</v>
      </c>
      <c r="J187" s="31">
        <v>1360</v>
      </c>
      <c r="K187" s="30">
        <v>51.7</v>
      </c>
      <c r="L187" s="31">
        <v>1650</v>
      </c>
      <c r="M187" s="30">
        <v>8.6</v>
      </c>
      <c r="N187" s="32">
        <v>0.83</v>
      </c>
      <c r="O187" s="32"/>
      <c r="P187" s="32"/>
      <c r="Q187" s="32"/>
      <c r="R187" s="32"/>
      <c r="S187" s="28"/>
    </row>
    <row r="188" spans="2:19" ht="14.25" customHeight="1">
      <c r="B188" s="24"/>
      <c r="C188" s="28" t="s">
        <v>339</v>
      </c>
      <c r="D188" s="28" t="s">
        <v>339</v>
      </c>
      <c r="E188" s="28" t="s">
        <v>329</v>
      </c>
      <c r="F188" s="28" t="s">
        <v>340</v>
      </c>
      <c r="G188" s="29">
        <v>0.20832000000000003</v>
      </c>
      <c r="H188" s="30">
        <v>24.8</v>
      </c>
      <c r="I188" s="30">
        <v>84</v>
      </c>
      <c r="J188" s="31">
        <v>1100</v>
      </c>
      <c r="K188" s="30">
        <v>50</v>
      </c>
      <c r="L188" s="31">
        <v>1310</v>
      </c>
      <c r="M188" s="30">
        <v>6.7</v>
      </c>
      <c r="N188" s="32">
        <v>0.66</v>
      </c>
      <c r="O188" s="32"/>
      <c r="P188" s="32"/>
      <c r="Q188" s="32"/>
      <c r="R188" s="32"/>
      <c r="S188" s="28"/>
    </row>
    <row r="189" spans="2:19" ht="14.25" customHeight="1">
      <c r="B189" s="24"/>
      <c r="C189" s="28" t="s">
        <v>341</v>
      </c>
      <c r="D189" s="28" t="s">
        <v>341</v>
      </c>
      <c r="E189" s="28" t="s">
        <v>44</v>
      </c>
      <c r="F189" s="28" t="s">
        <v>342</v>
      </c>
      <c r="G189" s="29">
        <v>0.51647999999999994</v>
      </c>
      <c r="H189" s="30">
        <v>26.9</v>
      </c>
      <c r="I189" s="30">
        <v>192</v>
      </c>
      <c r="J189" s="31">
        <v>750</v>
      </c>
      <c r="K189" s="30">
        <v>78.3</v>
      </c>
      <c r="L189" s="31">
        <v>2100</v>
      </c>
      <c r="M189" s="30">
        <v>10</v>
      </c>
      <c r="N189" s="32">
        <v>1.06</v>
      </c>
      <c r="O189" s="32"/>
      <c r="P189" s="32"/>
      <c r="Q189" s="32"/>
      <c r="R189" s="32"/>
      <c r="S189" s="28"/>
    </row>
    <row r="190" spans="2:19" ht="14.25" customHeight="1">
      <c r="B190" s="24"/>
      <c r="C190" s="28" t="s">
        <v>343</v>
      </c>
      <c r="D190" s="28" t="s">
        <v>343</v>
      </c>
      <c r="E190" s="28" t="s">
        <v>329</v>
      </c>
      <c r="F190" s="28" t="s">
        <v>344</v>
      </c>
      <c r="G190" s="29">
        <v>0.69480000000000008</v>
      </c>
      <c r="H190" s="30">
        <v>36</v>
      </c>
      <c r="I190" s="30">
        <v>193</v>
      </c>
      <c r="J190" s="31">
        <v>980</v>
      </c>
      <c r="K190" s="30">
        <v>83.2</v>
      </c>
      <c r="L190" s="31">
        <v>2990</v>
      </c>
      <c r="M190" s="30">
        <v>15</v>
      </c>
      <c r="N190" s="32">
        <v>1.5</v>
      </c>
      <c r="O190" s="32"/>
      <c r="P190" s="32"/>
      <c r="Q190" s="32"/>
      <c r="R190" s="32"/>
      <c r="S190" s="28"/>
    </row>
    <row r="191" spans="2:19" ht="14.25" customHeight="1">
      <c r="B191" s="24"/>
      <c r="C191" s="28" t="s">
        <v>345</v>
      </c>
      <c r="D191" s="28" t="s">
        <v>345</v>
      </c>
      <c r="E191" s="28" t="s">
        <v>44</v>
      </c>
      <c r="F191" s="28" t="s">
        <v>346</v>
      </c>
      <c r="G191" s="29">
        <v>0.56159999999999999</v>
      </c>
      <c r="H191" s="30">
        <v>54</v>
      </c>
      <c r="I191" s="30">
        <v>104</v>
      </c>
      <c r="J191" s="31">
        <v>1760</v>
      </c>
      <c r="K191" s="30">
        <v>68.599999999999994</v>
      </c>
      <c r="L191" s="31">
        <v>3700</v>
      </c>
      <c r="M191" s="30">
        <v>19</v>
      </c>
      <c r="N191" s="32">
        <v>1.86</v>
      </c>
      <c r="O191" s="32"/>
      <c r="P191" s="32"/>
      <c r="Q191" s="32"/>
      <c r="R191" s="32"/>
      <c r="S191" s="28"/>
    </row>
    <row r="192" spans="2:19" ht="14.25" customHeight="1">
      <c r="B192" s="24"/>
      <c r="C192" s="28" t="s">
        <v>347</v>
      </c>
      <c r="D192" s="28" t="s">
        <v>347</v>
      </c>
      <c r="E192" s="28" t="s">
        <v>44</v>
      </c>
      <c r="F192" s="28" t="s">
        <v>348</v>
      </c>
      <c r="G192" s="29">
        <v>0.75460000000000005</v>
      </c>
      <c r="H192" s="30">
        <v>49</v>
      </c>
      <c r="I192" s="30">
        <v>154</v>
      </c>
      <c r="J192" s="31">
        <v>1530</v>
      </c>
      <c r="K192" s="30">
        <v>72</v>
      </c>
      <c r="L192" s="31">
        <v>3520</v>
      </c>
      <c r="M192" s="30">
        <v>18</v>
      </c>
      <c r="N192" s="32">
        <v>1.77</v>
      </c>
      <c r="O192" s="32"/>
      <c r="P192" s="32"/>
      <c r="Q192" s="32"/>
      <c r="R192" s="32"/>
      <c r="S192" s="28"/>
    </row>
  </sheetData>
  <sheetProtection selectLockedCells="1"/>
  <dataConsolidate/>
  <mergeCells count="9">
    <mergeCell ref="P16:S16"/>
    <mergeCell ref="B6:C6"/>
    <mergeCell ref="P4:S4"/>
    <mergeCell ref="B2:S2"/>
    <mergeCell ref="B3:D4"/>
    <mergeCell ref="E3:E4"/>
    <mergeCell ref="B7:H7"/>
    <mergeCell ref="B8:S12"/>
    <mergeCell ref="I7:N7"/>
  </mergeCells>
  <phoneticPr fontId="13" type="noConversion"/>
  <dataValidations disablePrompts="1" count="1">
    <dataValidation type="list" allowBlank="1" showInputMessage="1" showErrorMessage="1" sqref="C5">
      <formula1>$C$17:$C$192</formula1>
    </dataValidation>
  </dataValidations>
  <hyperlinks>
    <hyperlink ref="B7:H7" location="Worksheet!A1" display="Go Back to Design Sheet"/>
    <hyperlink ref="B7:F7" location="Worksheet!A1" display="GO BUCK Design"/>
  </hyperlink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vt:lpstr>
      <vt:lpstr>TRX Selection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Wang;Jason Lo[羅文杰]/Analog LED/DIT</dc:creator>
  <cp:lastModifiedBy>Diodes</cp:lastModifiedBy>
  <cp:lastPrinted>2017-04-06T09:14:50Z</cp:lastPrinted>
  <dcterms:created xsi:type="dcterms:W3CDTF">2017-03-28T21:20:05Z</dcterms:created>
  <dcterms:modified xsi:type="dcterms:W3CDTF">2018-08-02T19:04:00Z</dcterms:modified>
</cp:coreProperties>
</file>